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asqualonea\Documents\"/>
    </mc:Choice>
  </mc:AlternateContent>
  <xr:revisionPtr revIDLastSave="0" documentId="8_{8655C150-0E68-4AD9-BD71-30330E18C6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M8" i="1"/>
  <c r="M7" i="1"/>
  <c r="M6" i="1"/>
  <c r="L17" i="1" l="1"/>
  <c r="L16" i="1"/>
  <c r="L15" i="1"/>
  <c r="L14" i="1"/>
  <c r="L13" i="1"/>
  <c r="L12" i="1"/>
  <c r="L11" i="1"/>
  <c r="L10" i="1"/>
  <c r="L9" i="1"/>
  <c r="L8" i="1"/>
  <c r="L7" i="1"/>
  <c r="K17" i="1"/>
  <c r="K16" i="1"/>
  <c r="K15" i="1"/>
  <c r="K14" i="1"/>
  <c r="K13" i="1"/>
  <c r="K12" i="1"/>
  <c r="K11" i="1"/>
  <c r="K10" i="1"/>
  <c r="K9" i="1"/>
  <c r="K8" i="1"/>
  <c r="K20" i="1" s="1"/>
  <c r="K7" i="1"/>
  <c r="M20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G17" i="1"/>
  <c r="G16" i="1"/>
  <c r="G15" i="1"/>
  <c r="G14" i="1"/>
  <c r="G13" i="1"/>
  <c r="G12" i="1"/>
  <c r="G11" i="1"/>
  <c r="G10" i="1"/>
  <c r="G9" i="1"/>
  <c r="G8" i="1"/>
  <c r="G7" i="1"/>
  <c r="E17" i="1"/>
  <c r="E16" i="1"/>
  <c r="S16" i="1" s="1"/>
  <c r="E15" i="1"/>
  <c r="E14" i="1"/>
  <c r="E13" i="1"/>
  <c r="E12" i="1"/>
  <c r="E11" i="1"/>
  <c r="E10" i="1"/>
  <c r="E9" i="1"/>
  <c r="E8" i="1"/>
  <c r="E7" i="1"/>
  <c r="E6" i="1"/>
  <c r="S6" i="1" s="1"/>
  <c r="D17" i="1"/>
  <c r="D16" i="1"/>
  <c r="D15" i="1"/>
  <c r="D14" i="1"/>
  <c r="D13" i="1"/>
  <c r="D12" i="1"/>
  <c r="D11" i="1"/>
  <c r="D10" i="1"/>
  <c r="D9" i="1"/>
  <c r="D8" i="1"/>
  <c r="D7" i="1"/>
  <c r="C17" i="1"/>
  <c r="C16" i="1"/>
  <c r="C15" i="1"/>
  <c r="C14" i="1"/>
  <c r="C13" i="1"/>
  <c r="C12" i="1"/>
  <c r="C11" i="1"/>
  <c r="C10" i="1"/>
  <c r="C9" i="1"/>
  <c r="C8" i="1"/>
  <c r="C7" i="1"/>
  <c r="C6" i="1"/>
  <c r="P20" i="1"/>
  <c r="O20" i="1"/>
  <c r="C20" i="1"/>
  <c r="S18" i="1"/>
  <c r="Q20" i="1"/>
  <c r="Q36" i="1"/>
  <c r="Q35" i="1"/>
  <c r="Q34" i="1"/>
  <c r="Q33" i="1"/>
  <c r="Q32" i="1"/>
  <c r="Q31" i="1"/>
  <c r="Q30" i="1"/>
  <c r="Q29" i="1"/>
  <c r="Q28" i="1"/>
  <c r="Q27" i="1"/>
  <c r="Q26" i="1"/>
  <c r="P36" i="1"/>
  <c r="P35" i="1"/>
  <c r="P34" i="1"/>
  <c r="P33" i="1"/>
  <c r="P32" i="1"/>
  <c r="P31" i="1"/>
  <c r="P30" i="1"/>
  <c r="P29" i="1"/>
  <c r="P28" i="1"/>
  <c r="P27" i="1"/>
  <c r="P26" i="1"/>
  <c r="O36" i="1"/>
  <c r="O35" i="1"/>
  <c r="O34" i="1"/>
  <c r="O33" i="1"/>
  <c r="O32" i="1"/>
  <c r="O31" i="1"/>
  <c r="O30" i="1"/>
  <c r="O29" i="1"/>
  <c r="O28" i="1"/>
  <c r="O27" i="1"/>
  <c r="O26" i="1"/>
  <c r="M36" i="1"/>
  <c r="M35" i="1"/>
  <c r="M34" i="1"/>
  <c r="M33" i="1"/>
  <c r="M32" i="1"/>
  <c r="M31" i="1"/>
  <c r="M30" i="1"/>
  <c r="M29" i="1"/>
  <c r="M28" i="1"/>
  <c r="M27" i="1"/>
  <c r="M26" i="1"/>
  <c r="M25" i="1"/>
  <c r="L36" i="1"/>
  <c r="L35" i="1"/>
  <c r="L34" i="1"/>
  <c r="L33" i="1"/>
  <c r="L32" i="1"/>
  <c r="L31" i="1"/>
  <c r="L30" i="1"/>
  <c r="L29" i="1"/>
  <c r="L28" i="1"/>
  <c r="L27" i="1"/>
  <c r="L26" i="1"/>
  <c r="K36" i="1"/>
  <c r="K35" i="1"/>
  <c r="K34" i="1"/>
  <c r="K33" i="1"/>
  <c r="K32" i="1"/>
  <c r="K31" i="1"/>
  <c r="K30" i="1"/>
  <c r="K29" i="1"/>
  <c r="K28" i="1"/>
  <c r="K27" i="1"/>
  <c r="K26" i="1"/>
  <c r="K25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D39" i="1"/>
  <c r="C39" i="1"/>
  <c r="S38" i="1"/>
  <c r="S37" i="1"/>
  <c r="Q55" i="1"/>
  <c r="Q54" i="1"/>
  <c r="Q53" i="1"/>
  <c r="Q52" i="1"/>
  <c r="Q51" i="1"/>
  <c r="Q50" i="1"/>
  <c r="Q49" i="1"/>
  <c r="Q48" i="1"/>
  <c r="Q47" i="1"/>
  <c r="Q46" i="1"/>
  <c r="Q45" i="1"/>
  <c r="L20" i="1" l="1"/>
  <c r="S15" i="1"/>
  <c r="I20" i="1"/>
  <c r="H20" i="1"/>
  <c r="G20" i="1"/>
  <c r="S9" i="1"/>
  <c r="S10" i="1"/>
  <c r="S11" i="1"/>
  <c r="S12" i="1"/>
  <c r="S14" i="1"/>
  <c r="S13" i="1"/>
  <c r="E20" i="1"/>
  <c r="S17" i="1"/>
  <c r="S7" i="1"/>
  <c r="D20" i="1"/>
  <c r="R21" i="1"/>
  <c r="N21" i="1"/>
  <c r="J21" i="1"/>
  <c r="S8" i="1"/>
  <c r="O39" i="1"/>
  <c r="L39" i="1"/>
  <c r="Q39" i="1"/>
  <c r="M39" i="1"/>
  <c r="P39" i="1"/>
  <c r="S28" i="1"/>
  <c r="S35" i="1"/>
  <c r="S34" i="1"/>
  <c r="S33" i="1"/>
  <c r="S32" i="1"/>
  <c r="S29" i="1"/>
  <c r="S36" i="1"/>
  <c r="G39" i="1"/>
  <c r="S27" i="1"/>
  <c r="H39" i="1"/>
  <c r="I39" i="1"/>
  <c r="S31" i="1"/>
  <c r="E39" i="1"/>
  <c r="F40" i="1" s="1"/>
  <c r="S26" i="1"/>
  <c r="K39" i="1"/>
  <c r="S30" i="1"/>
  <c r="P55" i="1"/>
  <c r="P54" i="1"/>
  <c r="P53" i="1"/>
  <c r="P52" i="1"/>
  <c r="P51" i="1"/>
  <c r="P50" i="1"/>
  <c r="P49" i="1"/>
  <c r="P48" i="1"/>
  <c r="P47" i="1"/>
  <c r="P46" i="1"/>
  <c r="P45" i="1"/>
  <c r="O55" i="1"/>
  <c r="O54" i="1"/>
  <c r="O53" i="1"/>
  <c r="O52" i="1"/>
  <c r="O51" i="1"/>
  <c r="O50" i="1"/>
  <c r="O49" i="1"/>
  <c r="O48" i="1"/>
  <c r="O47" i="1"/>
  <c r="O46" i="1"/>
  <c r="O45" i="1"/>
  <c r="O44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I47" i="1"/>
  <c r="H47" i="1"/>
  <c r="I46" i="1"/>
  <c r="H46" i="1"/>
  <c r="I45" i="1"/>
  <c r="H45" i="1"/>
  <c r="L55" i="1"/>
  <c r="L54" i="1"/>
  <c r="L53" i="1"/>
  <c r="L52" i="1"/>
  <c r="L51" i="1"/>
  <c r="L50" i="1"/>
  <c r="L49" i="1"/>
  <c r="L48" i="1"/>
  <c r="L47" i="1"/>
  <c r="L46" i="1"/>
  <c r="L45" i="1"/>
  <c r="K55" i="1"/>
  <c r="K54" i="1"/>
  <c r="K53" i="1"/>
  <c r="K52" i="1"/>
  <c r="K51" i="1"/>
  <c r="K50" i="1"/>
  <c r="K49" i="1"/>
  <c r="K48" i="1"/>
  <c r="K47" i="1"/>
  <c r="K46" i="1"/>
  <c r="K45" i="1"/>
  <c r="F21" i="1" l="1"/>
  <c r="S20" i="1"/>
  <c r="R40" i="1"/>
  <c r="N40" i="1"/>
  <c r="J40" i="1"/>
  <c r="S39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C58" i="1"/>
  <c r="D58" i="1"/>
  <c r="E58" i="1"/>
  <c r="G58" i="1"/>
  <c r="H58" i="1"/>
  <c r="I58" i="1"/>
  <c r="K58" i="1"/>
  <c r="L58" i="1"/>
  <c r="M58" i="1"/>
  <c r="O58" i="1"/>
  <c r="P58" i="1"/>
  <c r="Q58" i="1"/>
  <c r="S62" i="1"/>
  <c r="S63" i="1"/>
  <c r="C64" i="1"/>
  <c r="S64" i="1" s="1"/>
  <c r="C65" i="1"/>
  <c r="S65" i="1" s="1"/>
  <c r="Q76" i="1"/>
  <c r="C66" i="1"/>
  <c r="S66" i="1" s="1"/>
  <c r="C67" i="1"/>
  <c r="S67" i="1" s="1"/>
  <c r="C68" i="1"/>
  <c r="S68" i="1" s="1"/>
  <c r="S69" i="1"/>
  <c r="C70" i="1"/>
  <c r="S71" i="1"/>
  <c r="C72" i="1"/>
  <c r="S72" i="1" s="1"/>
  <c r="C73" i="1"/>
  <c r="S74" i="1"/>
  <c r="S75" i="1"/>
  <c r="D76" i="1"/>
  <c r="E76" i="1"/>
  <c r="G76" i="1"/>
  <c r="H76" i="1"/>
  <c r="I76" i="1"/>
  <c r="K76" i="1"/>
  <c r="L76" i="1"/>
  <c r="M76" i="1"/>
  <c r="O76" i="1"/>
  <c r="R59" i="1" l="1"/>
  <c r="N59" i="1"/>
  <c r="J59" i="1"/>
  <c r="S73" i="1"/>
  <c r="C76" i="1"/>
  <c r="F59" i="1"/>
  <c r="S58" i="1"/>
  <c r="P76" i="1"/>
  <c r="S70" i="1"/>
  <c r="S94" i="1"/>
  <c r="S93" i="1"/>
  <c r="P92" i="1"/>
  <c r="K92" i="1"/>
  <c r="I92" i="1"/>
  <c r="G92" i="1"/>
  <c r="E92" i="1"/>
  <c r="D92" i="1"/>
  <c r="D95" i="1" s="1"/>
  <c r="C92" i="1"/>
  <c r="C95" i="1" s="1"/>
  <c r="O91" i="1"/>
  <c r="L91" i="1"/>
  <c r="I91" i="1"/>
  <c r="H91" i="1"/>
  <c r="G91" i="1"/>
  <c r="E91" i="1"/>
  <c r="O90" i="1"/>
  <c r="H90" i="1"/>
  <c r="G90" i="1"/>
  <c r="P89" i="1"/>
  <c r="O89" i="1"/>
  <c r="H89" i="1"/>
  <c r="G89" i="1"/>
  <c r="P88" i="1"/>
  <c r="O88" i="1"/>
  <c r="M88" i="1"/>
  <c r="L88" i="1"/>
  <c r="K88" i="1"/>
  <c r="I88" i="1"/>
  <c r="H88" i="1"/>
  <c r="E88" i="1"/>
  <c r="L87" i="1"/>
  <c r="H87" i="1"/>
  <c r="G87" i="1"/>
  <c r="E87" i="1"/>
  <c r="P86" i="1"/>
  <c r="O86" i="1"/>
  <c r="M86" i="1"/>
  <c r="L86" i="1"/>
  <c r="I86" i="1"/>
  <c r="H86" i="1"/>
  <c r="G86" i="1"/>
  <c r="G85" i="1"/>
  <c r="S85" i="1" s="1"/>
  <c r="P84" i="1"/>
  <c r="M84" i="1"/>
  <c r="L84" i="1"/>
  <c r="G84" i="1"/>
  <c r="P83" i="1"/>
  <c r="L83" i="1"/>
  <c r="G83" i="1"/>
  <c r="E83" i="1"/>
  <c r="P82" i="1"/>
  <c r="L82" i="1"/>
  <c r="G82" i="1"/>
  <c r="Q81" i="1"/>
  <c r="Q95" i="1" s="1"/>
  <c r="P81" i="1"/>
  <c r="O81" i="1"/>
  <c r="M81" i="1"/>
  <c r="L81" i="1"/>
  <c r="I81" i="1"/>
  <c r="H81" i="1"/>
  <c r="G81" i="1"/>
  <c r="S76" i="1" l="1"/>
  <c r="S84" i="1"/>
  <c r="P95" i="1"/>
  <c r="S88" i="1"/>
  <c r="S92" i="1"/>
  <c r="S89" i="1"/>
  <c r="K95" i="1"/>
  <c r="L95" i="1"/>
  <c r="S87" i="1"/>
  <c r="S83" i="1"/>
  <c r="M95" i="1"/>
  <c r="H95" i="1"/>
  <c r="S86" i="1"/>
  <c r="S81" i="1"/>
  <c r="S91" i="1"/>
  <c r="S82" i="1"/>
  <c r="O95" i="1"/>
  <c r="S90" i="1"/>
  <c r="I95" i="1"/>
  <c r="E95" i="1"/>
  <c r="G95" i="1"/>
  <c r="R96" i="1" l="1"/>
  <c r="N96" i="1"/>
  <c r="S95" i="1"/>
  <c r="J96" i="1"/>
  <c r="F96" i="1"/>
  <c r="J77" i="1"/>
  <c r="R77" i="1" l="1"/>
  <c r="N77" i="1"/>
  <c r="Q233" i="1"/>
  <c r="P233" i="1"/>
  <c r="O233" i="1"/>
  <c r="M233" i="1"/>
  <c r="L233" i="1"/>
  <c r="K233" i="1"/>
  <c r="I233" i="1"/>
  <c r="H233" i="1"/>
  <c r="G233" i="1"/>
  <c r="E233" i="1"/>
  <c r="D233" i="1"/>
  <c r="C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R234" i="1" l="1"/>
  <c r="S233" i="1"/>
  <c r="F234" i="1"/>
  <c r="N234" i="1"/>
  <c r="J234" i="1"/>
  <c r="F77" i="1"/>
  <c r="Q115" i="1" l="1"/>
  <c r="P112" i="1" l="1"/>
  <c r="P111" i="1"/>
  <c r="P104" i="1"/>
  <c r="P115" i="1" l="1"/>
  <c r="M109" i="1"/>
  <c r="M105" i="1"/>
  <c r="M104" i="1"/>
  <c r="M102" i="1"/>
  <c r="K115" i="1" l="1"/>
  <c r="G156" i="1" l="1"/>
  <c r="M213" i="1" l="1"/>
  <c r="L213" i="1"/>
  <c r="K213" i="1"/>
  <c r="I213" i="1"/>
  <c r="H213" i="1"/>
  <c r="G213" i="1"/>
  <c r="E213" i="1"/>
  <c r="D213" i="1"/>
  <c r="S212" i="1"/>
  <c r="S211" i="1"/>
  <c r="S210" i="1"/>
  <c r="S209" i="1"/>
  <c r="S208" i="1"/>
  <c r="S207" i="1"/>
  <c r="S206" i="1"/>
  <c r="S205" i="1"/>
  <c r="S204" i="1"/>
  <c r="S203" i="1"/>
  <c r="S202" i="1"/>
  <c r="Q201" i="1"/>
  <c r="Q213" i="1" s="1"/>
  <c r="P201" i="1"/>
  <c r="P213" i="1" s="1"/>
  <c r="O201" i="1"/>
  <c r="O213" i="1" s="1"/>
  <c r="C201" i="1"/>
  <c r="C213" i="1" s="1"/>
  <c r="Q194" i="1"/>
  <c r="P194" i="1"/>
  <c r="O194" i="1"/>
  <c r="M194" i="1"/>
  <c r="L194" i="1"/>
  <c r="K194" i="1"/>
  <c r="I194" i="1"/>
  <c r="H194" i="1"/>
  <c r="G194" i="1"/>
  <c r="E194" i="1"/>
  <c r="D194" i="1"/>
  <c r="C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Q176" i="1"/>
  <c r="P176" i="1"/>
  <c r="O176" i="1"/>
  <c r="M176" i="1"/>
  <c r="L176" i="1"/>
  <c r="K176" i="1"/>
  <c r="I176" i="1"/>
  <c r="H176" i="1"/>
  <c r="G176" i="1"/>
  <c r="E176" i="1"/>
  <c r="D176" i="1"/>
  <c r="C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Q156" i="1"/>
  <c r="P156" i="1"/>
  <c r="O156" i="1"/>
  <c r="M156" i="1"/>
  <c r="L156" i="1"/>
  <c r="K156" i="1"/>
  <c r="I156" i="1"/>
  <c r="H156" i="1"/>
  <c r="E156" i="1"/>
  <c r="D156" i="1"/>
  <c r="C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Q135" i="1"/>
  <c r="P135" i="1"/>
  <c r="O135" i="1"/>
  <c r="M135" i="1"/>
  <c r="K135" i="1"/>
  <c r="I135" i="1"/>
  <c r="H135" i="1"/>
  <c r="G135" i="1"/>
  <c r="E135" i="1"/>
  <c r="D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C121" i="1"/>
  <c r="S121" i="1" s="1"/>
  <c r="O115" i="1"/>
  <c r="R116" i="1" s="1"/>
  <c r="M115" i="1"/>
  <c r="N116" i="1" s="1"/>
  <c r="I115" i="1"/>
  <c r="H115" i="1"/>
  <c r="G115" i="1"/>
  <c r="E115" i="1"/>
  <c r="D115" i="1"/>
  <c r="C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J116" i="1" l="1"/>
  <c r="N136" i="1"/>
  <c r="N157" i="1"/>
  <c r="N214" i="1"/>
  <c r="R177" i="1"/>
  <c r="R214" i="1"/>
  <c r="J214" i="1"/>
  <c r="R195" i="1"/>
  <c r="J157" i="1"/>
  <c r="R136" i="1"/>
  <c r="N177" i="1"/>
  <c r="N195" i="1"/>
  <c r="J136" i="1"/>
  <c r="R157" i="1"/>
  <c r="J177" i="1"/>
  <c r="J195" i="1"/>
  <c r="F214" i="1"/>
  <c r="S213" i="1"/>
  <c r="S201" i="1"/>
  <c r="F116" i="1"/>
  <c r="F177" i="1"/>
  <c r="F195" i="1"/>
  <c r="F157" i="1"/>
  <c r="S194" i="1"/>
  <c r="S156" i="1"/>
  <c r="S176" i="1"/>
  <c r="S115" i="1"/>
  <c r="C135" i="1"/>
  <c r="S135" i="1" l="1"/>
  <c r="F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McMullan, Maya</author>
  </authors>
  <commentList>
    <comment ref="C10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41754 (9/24/19) changed from 37,735</t>
        </r>
      </text>
    </comment>
    <comment ref="D10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43376 (9/24/19)
updated 36061
</t>
        </r>
      </text>
    </comment>
    <comment ref="C10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4842 (9/24/19) changed from 3782
</t>
        </r>
      </text>
    </comment>
    <comment ref="C10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7749 (9/24/19) changed from 7706
</t>
        </r>
      </text>
    </comment>
    <comment ref="C10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18811 (9/24/2019) changed from 17904
</t>
        </r>
      </text>
    </comment>
    <comment ref="D10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19420 (9/24/2019
updated from 13794</t>
        </r>
      </text>
    </comment>
    <comment ref="C10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40299 (9/24/19) changed from 39021
</t>
        </r>
      </text>
    </comment>
    <comment ref="D10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43825 (9/24/2019)
Edited from 43503</t>
        </r>
      </text>
    </comment>
    <comment ref="C10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7687 (9/24/2019) changed from 7425
</t>
        </r>
      </text>
    </comment>
    <comment ref="C1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1924 (9/24/19) changed from 1787
</t>
        </r>
      </text>
    </comment>
    <comment ref="D1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1557 (9/24/19)
updated from 1380
</t>
        </r>
      </text>
    </comment>
    <comment ref="P12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44228 (9/24/19)
</t>
        </r>
      </text>
    </comment>
    <comment ref="Q12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39950 (9/24/19)</t>
        </r>
      </text>
    </comment>
    <comment ref="P12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1443 (9/24/19)
</t>
        </r>
      </text>
    </comment>
    <comment ref="P1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5145 (9/24/19)
</t>
        </r>
      </text>
    </comment>
    <comment ref="E12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6705 9/24/19
</t>
        </r>
      </text>
    </comment>
    <comment ref="M12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McMullan, </t>
        </r>
      </text>
    </comment>
    <comment ref="P12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6797 (9/24/19)
</t>
        </r>
      </text>
    </comment>
    <comment ref="P126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17706 (9/24/19)
</t>
        </r>
      </text>
    </comment>
    <comment ref="Q12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16995 (9/24/19)</t>
        </r>
      </text>
    </comment>
    <comment ref="P12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5922 (9/24/19)
</t>
        </r>
      </text>
    </comment>
    <comment ref="P128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40309 (9/24/19)
</t>
        </r>
      </text>
    </comment>
    <comment ref="Q12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37151 (9/24/2019)</t>
        </r>
      </text>
    </comment>
    <comment ref="P12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7009 (9/24/19)
</t>
        </r>
      </text>
    </comment>
    <comment ref="Q131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4437 (9/24/19)
</t>
        </r>
      </text>
    </comment>
    <comment ref="P13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1712 (9/24/19)
</t>
        </r>
      </text>
    </comment>
    <comment ref="D13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McMullan, Maya:</t>
        </r>
        <r>
          <rPr>
            <sz val="9"/>
            <color indexed="81"/>
            <rFont val="Tahoma"/>
            <family val="2"/>
          </rPr>
          <t xml:space="preserve">
data collected  as of 10/1/2018
</t>
        </r>
      </text>
    </comment>
  </commentList>
</comments>
</file>

<file path=xl/sharedStrings.xml><?xml version="1.0" encoding="utf-8"?>
<sst xmlns="http://schemas.openxmlformats.org/spreadsheetml/2006/main" count="296" uniqueCount="38">
  <si>
    <t>FY 2020</t>
  </si>
  <si>
    <t>Free Trolley</t>
  </si>
  <si>
    <t>Route 1</t>
  </si>
  <si>
    <t>Route 2</t>
  </si>
  <si>
    <t>Route 3</t>
  </si>
  <si>
    <t>Route 4</t>
  </si>
  <si>
    <t>Route 5</t>
  </si>
  <si>
    <t>Route 6</t>
  </si>
  <si>
    <t>Route 7</t>
  </si>
  <si>
    <t>Route 8</t>
  </si>
  <si>
    <t>Route 9</t>
  </si>
  <si>
    <t>Route 10</t>
  </si>
  <si>
    <t>Route 11</t>
  </si>
  <si>
    <t>Route 12</t>
  </si>
  <si>
    <t>Other</t>
  </si>
  <si>
    <t>TOTAL</t>
  </si>
  <si>
    <t>FY 2019</t>
  </si>
  <si>
    <t>FY 2018</t>
  </si>
  <si>
    <t>1st Quarter</t>
  </si>
  <si>
    <t>2nd Quarter</t>
  </si>
  <si>
    <t xml:space="preserve"> 2nd Quarter</t>
  </si>
  <si>
    <t>FY 2017</t>
  </si>
  <si>
    <t xml:space="preserve">FY 2016 </t>
  </si>
  <si>
    <t>FY 2015</t>
  </si>
  <si>
    <t>3rd Quarter</t>
  </si>
  <si>
    <t>Subtotals:      1 Quarter</t>
  </si>
  <si>
    <t>4th Quarter</t>
  </si>
  <si>
    <t xml:space="preserve"> 3rd Quarter</t>
  </si>
  <si>
    <t xml:space="preserve"> 4th Quarter</t>
  </si>
  <si>
    <t>FY 2021</t>
  </si>
  <si>
    <t>FY 2022</t>
  </si>
  <si>
    <t>FY2021</t>
  </si>
  <si>
    <t>FY 2023</t>
  </si>
  <si>
    <t>FY 2024</t>
  </si>
  <si>
    <t>FY 2014</t>
  </si>
  <si>
    <t>FY 2025</t>
  </si>
  <si>
    <t>FY2025</t>
  </si>
  <si>
    <t>CHARLOTTESVILLE AREA TRANSIT - 12  YEAR RIDERSHIP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</si>
</sst>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8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14" applyNumberFormat="0" applyAlignment="0" applyProtection="0"/>
    <xf numFmtId="0" fontId="29" fillId="9" borderId="15" applyNumberFormat="0" applyAlignment="0" applyProtection="0"/>
    <xf numFmtId="0" fontId="30" fillId="9" borderId="14" applyNumberFormat="0" applyAlignment="0" applyProtection="0"/>
    <xf numFmtId="0" fontId="31" fillId="0" borderId="16" applyNumberFormat="0" applyFill="0" applyAlignment="0" applyProtection="0"/>
    <xf numFmtId="0" fontId="32" fillId="10" borderId="17" applyNumberFormat="0" applyAlignment="0" applyProtection="0"/>
    <xf numFmtId="0" fontId="33" fillId="0" borderId="0" applyNumberFormat="0" applyFill="0" applyBorder="0" applyAlignment="0" applyProtection="0"/>
    <xf numFmtId="0" fontId="20" fillId="11" borderId="18" applyNumberFormat="0" applyFont="0" applyAlignment="0" applyProtection="0"/>
    <xf numFmtId="0" fontId="34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35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35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191">
    <xf numFmtId="0" fontId="0" fillId="0" borderId="0" xfId="0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/>
    <xf numFmtId="3" fontId="0" fillId="2" borderId="1" xfId="0" applyNumberFormat="1" applyFill="1" applyBorder="1"/>
    <xf numFmtId="0" fontId="2" fillId="0" borderId="1" xfId="0" applyFont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/>
    <xf numFmtId="3" fontId="2" fillId="3" borderId="1" xfId="0" applyNumberFormat="1" applyFont="1" applyFill="1" applyBorder="1"/>
    <xf numFmtId="17" fontId="2" fillId="3" borderId="1" xfId="0" applyNumberFormat="1" applyFont="1" applyFill="1" applyBorder="1"/>
    <xf numFmtId="3" fontId="1" fillId="0" borderId="1" xfId="0" applyNumberFormat="1" applyFont="1" applyFill="1" applyBorder="1"/>
    <xf numFmtId="3" fontId="3" fillId="2" borderId="1" xfId="0" applyNumberFormat="1" applyFont="1" applyFill="1" applyBorder="1"/>
    <xf numFmtId="3" fontId="0" fillId="0" borderId="0" xfId="0" applyNumberFormat="1"/>
    <xf numFmtId="17" fontId="2" fillId="0" borderId="2" xfId="0" applyNumberFormat="1" applyFont="1" applyBorder="1"/>
    <xf numFmtId="3" fontId="3" fillId="2" borderId="2" xfId="0" applyNumberFormat="1" applyFont="1" applyFill="1" applyBorder="1"/>
    <xf numFmtId="3" fontId="2" fillId="0" borderId="2" xfId="0" applyNumberFormat="1" applyFont="1" applyFill="1" applyBorder="1"/>
    <xf numFmtId="17" fontId="2" fillId="0" borderId="3" xfId="0" applyNumberFormat="1" applyFont="1" applyBorder="1"/>
    <xf numFmtId="3" fontId="0" fillId="2" borderId="3" xfId="0" applyNumberFormat="1" applyFill="1" applyBorder="1"/>
    <xf numFmtId="3" fontId="0" fillId="0" borderId="3" xfId="0" applyNumberFormat="1" applyFill="1" applyBorder="1"/>
    <xf numFmtId="3" fontId="1" fillId="0" borderId="4" xfId="0" applyNumberFormat="1" applyFont="1" applyFill="1" applyBorder="1"/>
    <xf numFmtId="0" fontId="2" fillId="0" borderId="4" xfId="0" applyFont="1" applyBorder="1"/>
    <xf numFmtId="3" fontId="2" fillId="2" borderId="5" xfId="0" applyNumberFormat="1" applyFont="1" applyFill="1" applyBorder="1"/>
    <xf numFmtId="3" fontId="1" fillId="0" borderId="5" xfId="0" applyNumberFormat="1" applyFont="1" applyFill="1" applyBorder="1"/>
    <xf numFmtId="0" fontId="0" fillId="0" borderId="0" xfId="0" applyAlignment="1">
      <alignment horizontal="center"/>
    </xf>
    <xf numFmtId="3" fontId="0" fillId="0" borderId="5" xfId="0" applyNumberFormat="1" applyBorder="1"/>
    <xf numFmtId="0" fontId="0" fillId="0" borderId="3" xfId="0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2" fillId="0" borderId="5" xfId="0" applyNumberFormat="1" applyFont="1" applyFill="1" applyBorder="1"/>
    <xf numFmtId="3" fontId="2" fillId="0" borderId="4" xfId="0" applyNumberFormat="1" applyFont="1" applyFill="1" applyBorder="1"/>
    <xf numFmtId="3" fontId="1" fillId="0" borderId="9" xfId="0" applyNumberFormat="1" applyFont="1" applyFill="1" applyBorder="1"/>
    <xf numFmtId="3" fontId="6" fillId="0" borderId="0" xfId="0" applyNumberFormat="1" applyFont="1" applyAlignment="1">
      <alignment horizontal="center"/>
    </xf>
    <xf numFmtId="3" fontId="9" fillId="0" borderId="0" xfId="0" applyNumberFormat="1" applyFo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3" fillId="0" borderId="5" xfId="0" applyNumberFormat="1" applyFont="1" applyFill="1" applyBorder="1"/>
    <xf numFmtId="3" fontId="0" fillId="0" borderId="3" xfId="0" applyNumberFormat="1" applyBorder="1"/>
    <xf numFmtId="3" fontId="2" fillId="2" borderId="3" xfId="0" applyNumberFormat="1" applyFont="1" applyFill="1" applyBorder="1"/>
    <xf numFmtId="3" fontId="0" fillId="4" borderId="5" xfId="0" applyNumberFormat="1" applyFill="1" applyBorder="1"/>
    <xf numFmtId="3" fontId="2" fillId="0" borderId="5" xfId="0" applyNumberFormat="1" applyFont="1" applyBorder="1"/>
    <xf numFmtId="3" fontId="2" fillId="4" borderId="5" xfId="0" applyNumberFormat="1" applyFont="1" applyFill="1" applyBorder="1"/>
    <xf numFmtId="0" fontId="2" fillId="2" borderId="4" xfId="0" applyFont="1" applyFill="1" applyBorder="1"/>
    <xf numFmtId="3" fontId="0" fillId="2" borderId="5" xfId="0" applyNumberFormat="1" applyFill="1" applyBorder="1"/>
    <xf numFmtId="10" fontId="0" fillId="0" borderId="5" xfId="0" applyNumberFormat="1" applyBorder="1"/>
    <xf numFmtId="17" fontId="2" fillId="0" borderId="0" xfId="0" applyNumberFormat="1" applyFont="1" applyFill="1" applyBorder="1" applyAlignment="1">
      <alignment vertical="center" textRotation="45"/>
    </xf>
    <xf numFmtId="0" fontId="0" fillId="0" borderId="0" xfId="0" applyFill="1" applyBorder="1"/>
    <xf numFmtId="3" fontId="0" fillId="0" borderId="4" xfId="0" applyNumberFormat="1" applyBorder="1"/>
    <xf numFmtId="3" fontId="0" fillId="2" borderId="4" xfId="0" applyNumberFormat="1" applyFill="1" applyBorder="1"/>
    <xf numFmtId="3" fontId="3" fillId="2" borderId="5" xfId="0" applyNumberFormat="1" applyFont="1" applyFill="1" applyBorder="1"/>
    <xf numFmtId="3" fontId="1" fillId="0" borderId="5" xfId="0" applyNumberFormat="1" applyFont="1" applyBorder="1"/>
    <xf numFmtId="3" fontId="1" fillId="0" borderId="1" xfId="0" applyNumberFormat="1" applyFont="1" applyBorder="1"/>
    <xf numFmtId="3" fontId="1" fillId="0" borderId="4" xfId="0" applyNumberFormat="1" applyFont="1" applyBorder="1"/>
    <xf numFmtId="3" fontId="1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7" fontId="2" fillId="0" borderId="0" xfId="0" applyNumberFormat="1" applyFont="1" applyBorder="1"/>
    <xf numFmtId="3" fontId="0" fillId="3" borderId="0" xfId="0" applyNumberFormat="1" applyFill="1" applyBorder="1"/>
    <xf numFmtId="3" fontId="2" fillId="3" borderId="0" xfId="0" applyNumberFormat="1" applyFont="1" applyFill="1" applyBorder="1"/>
    <xf numFmtId="10" fontId="0" fillId="0" borderId="0" xfId="0" applyNumberFormat="1" applyFill="1" applyBorder="1"/>
    <xf numFmtId="3" fontId="3" fillId="0" borderId="0" xfId="0" applyNumberFormat="1" applyFont="1" applyFill="1" applyBorder="1"/>
    <xf numFmtId="0" fontId="0" fillId="0" borderId="0" xfId="0" applyBorder="1"/>
    <xf numFmtId="3" fontId="18" fillId="2" borderId="1" xfId="1" applyNumberFormat="1" applyFill="1" applyBorder="1"/>
    <xf numFmtId="3" fontId="18" fillId="0" borderId="1" xfId="1" applyNumberFormat="1" applyFill="1" applyBorder="1"/>
    <xf numFmtId="3" fontId="2" fillId="0" borderId="1" xfId="1" applyNumberFormat="1" applyFont="1" applyFill="1" applyBorder="1"/>
    <xf numFmtId="0" fontId="10" fillId="0" borderId="0" xfId="0" applyFont="1" applyAlignment="1">
      <alignment horizontal="center"/>
    </xf>
    <xf numFmtId="0" fontId="1" fillId="0" borderId="0" xfId="0" applyFont="1"/>
    <xf numFmtId="3" fontId="19" fillId="2" borderId="1" xfId="6" applyNumberFormat="1" applyFill="1" applyBorder="1"/>
    <xf numFmtId="3" fontId="19" fillId="0" borderId="1" xfId="6" applyNumberFormat="1" applyFill="1" applyBorder="1"/>
    <xf numFmtId="0" fontId="10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/>
    <xf numFmtId="3" fontId="0" fillId="2" borderId="1" xfId="0" applyNumberFormat="1" applyFill="1" applyBorder="1"/>
    <xf numFmtId="0" fontId="2" fillId="0" borderId="1" xfId="0" applyFont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/>
    <xf numFmtId="3" fontId="3" fillId="0" borderId="1" xfId="0" applyNumberFormat="1" applyFont="1" applyFill="1" applyBorder="1"/>
    <xf numFmtId="3" fontId="2" fillId="3" borderId="1" xfId="0" applyNumberFormat="1" applyFont="1" applyFill="1" applyBorder="1"/>
    <xf numFmtId="3" fontId="1" fillId="0" borderId="1" xfId="0" applyNumberFormat="1" applyFont="1" applyFill="1" applyBorder="1"/>
    <xf numFmtId="3" fontId="3" fillId="2" borderId="1" xfId="0" applyNumberFormat="1" applyFont="1" applyFill="1" applyBorder="1"/>
    <xf numFmtId="3" fontId="0" fillId="0" borderId="0" xfId="0" applyNumberFormat="1"/>
    <xf numFmtId="17" fontId="2" fillId="0" borderId="2" xfId="0" applyNumberFormat="1" applyFont="1" applyBorder="1"/>
    <xf numFmtId="17" fontId="2" fillId="0" borderId="3" xfId="0" applyNumberFormat="1" applyFont="1" applyBorder="1"/>
    <xf numFmtId="3" fontId="0" fillId="0" borderId="3" xfId="0" applyNumberFormat="1" applyFill="1" applyBorder="1"/>
    <xf numFmtId="3" fontId="1" fillId="0" borderId="4" xfId="0" applyNumberFormat="1" applyFont="1" applyFill="1" applyBorder="1"/>
    <xf numFmtId="0" fontId="2" fillId="0" borderId="4" xfId="0" applyFont="1" applyBorder="1"/>
    <xf numFmtId="3" fontId="1" fillId="0" borderId="5" xfId="0" applyNumberFormat="1" applyFont="1" applyFill="1" applyBorder="1"/>
    <xf numFmtId="3" fontId="1" fillId="0" borderId="9" xfId="0" applyNumberFormat="1" applyFont="1" applyFill="1" applyBorder="1"/>
    <xf numFmtId="3" fontId="6" fillId="0" borderId="0" xfId="0" applyNumberFormat="1" applyFont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3" fillId="0" borderId="1" xfId="49" applyNumberFormat="1" applyFill="1" applyBorder="1"/>
    <xf numFmtId="3" fontId="3" fillId="0" borderId="1" xfId="51" applyNumberFormat="1" applyFill="1" applyBorder="1"/>
    <xf numFmtId="3" fontId="2" fillId="2" borderId="1" xfId="0" applyNumberFormat="1" applyFont="1" applyFill="1" applyBorder="1"/>
    <xf numFmtId="16" fontId="0" fillId="0" borderId="0" xfId="0" applyNumberFormat="1"/>
    <xf numFmtId="3" fontId="36" fillId="2" borderId="1" xfId="53" applyNumberFormat="1" applyFill="1" applyBorder="1"/>
    <xf numFmtId="3" fontId="36" fillId="0" borderId="1" xfId="53" applyNumberFormat="1" applyFill="1" applyBorder="1"/>
    <xf numFmtId="164" fontId="3" fillId="36" borderId="1" xfId="57" applyNumberFormat="1" applyFont="1" applyFill="1" applyBorder="1"/>
    <xf numFmtId="164" fontId="0" fillId="36" borderId="1" xfId="57" applyNumberFormat="1" applyFont="1" applyFill="1" applyBorder="1"/>
    <xf numFmtId="164" fontId="3" fillId="37" borderId="1" xfId="57" applyNumberFormat="1" applyFont="1" applyFill="1" applyBorder="1"/>
    <xf numFmtId="164" fontId="3" fillId="38" borderId="1" xfId="57" applyNumberFormat="1" applyFont="1" applyFill="1" applyBorder="1"/>
    <xf numFmtId="3" fontId="37" fillId="2" borderId="1" xfId="0" applyNumberFormat="1" applyFont="1" applyFill="1" applyBorder="1"/>
    <xf numFmtId="3" fontId="3" fillId="2" borderId="1" xfId="53" applyNumberFormat="1" applyFont="1" applyFill="1" applyBorder="1"/>
    <xf numFmtId="3" fontId="37" fillId="2" borderId="3" xfId="0" applyNumberFormat="1" applyFont="1" applyFill="1" applyBorder="1"/>
    <xf numFmtId="3" fontId="3" fillId="2" borderId="1" xfId="6" applyNumberFormat="1" applyFont="1" applyFill="1" applyBorder="1"/>
    <xf numFmtId="3" fontId="3" fillId="2" borderId="1" xfId="1" applyNumberFormat="1" applyFont="1" applyFill="1" applyBorder="1"/>
    <xf numFmtId="3" fontId="37" fillId="0" borderId="1" xfId="0" applyNumberFormat="1" applyFont="1" applyFill="1" applyBorder="1"/>
    <xf numFmtId="3" fontId="3" fillId="0" borderId="1" xfId="53" applyNumberFormat="1" applyFont="1" applyFill="1" applyBorder="1"/>
    <xf numFmtId="3" fontId="37" fillId="0" borderId="3" xfId="0" applyNumberFormat="1" applyFont="1" applyFill="1" applyBorder="1"/>
    <xf numFmtId="3" fontId="3" fillId="0" borderId="1" xfId="6" applyNumberFormat="1" applyFont="1" applyFill="1" applyBorder="1"/>
    <xf numFmtId="3" fontId="37" fillId="3" borderId="1" xfId="0" applyNumberFormat="1" applyFont="1" applyFill="1" applyBorder="1"/>
    <xf numFmtId="3" fontId="3" fillId="0" borderId="1" xfId="1" applyNumberFormat="1" applyFont="1" applyFill="1" applyBorder="1"/>
    <xf numFmtId="3" fontId="38" fillId="0" borderId="1" xfId="0" applyNumberFormat="1" applyFont="1" applyBorder="1"/>
    <xf numFmtId="0" fontId="3" fillId="2" borderId="0" xfId="0" applyFont="1" applyFill="1"/>
    <xf numFmtId="0" fontId="38" fillId="0" borderId="1" xfId="0" applyFont="1" applyBorder="1"/>
    <xf numFmtId="3" fontId="38" fillId="2" borderId="1" xfId="0" applyNumberFormat="1" applyFont="1" applyFill="1" applyBorder="1"/>
    <xf numFmtId="3" fontId="39" fillId="0" borderId="1" xfId="0" applyNumberFormat="1" applyFont="1" applyFill="1" applyBorder="1"/>
    <xf numFmtId="3" fontId="39" fillId="0" borderId="1" xfId="0" applyNumberFormat="1" applyFont="1" applyBorder="1"/>
    <xf numFmtId="0" fontId="39" fillId="0" borderId="0" xfId="0" applyFont="1"/>
    <xf numFmtId="3" fontId="37" fillId="0" borderId="4" xfId="0" applyNumberFormat="1" applyFont="1" applyFill="1" applyBorder="1"/>
    <xf numFmtId="3" fontId="3" fillId="36" borderId="1" xfId="0" applyNumberFormat="1" applyFont="1" applyFill="1" applyBorder="1"/>
    <xf numFmtId="3" fontId="3" fillId="36" borderId="6" xfId="0" applyNumberFormat="1" applyFont="1" applyFill="1" applyBorder="1"/>
    <xf numFmtId="164" fontId="20" fillId="36" borderId="4" xfId="57" applyNumberFormat="1" applyFont="1" applyFill="1" applyBorder="1"/>
    <xf numFmtId="3" fontId="3" fillId="36" borderId="4" xfId="0" applyNumberFormat="1" applyFont="1" applyFill="1" applyBorder="1"/>
    <xf numFmtId="164" fontId="20" fillId="36" borderId="1" xfId="57" applyNumberFormat="1" applyFont="1" applyFill="1" applyBorder="1"/>
    <xf numFmtId="164" fontId="20" fillId="36" borderId="6" xfId="57" applyNumberFormat="1" applyFont="1" applyFill="1" applyBorder="1"/>
    <xf numFmtId="3" fontId="3" fillId="37" borderId="1" xfId="0" applyNumberFormat="1" applyFont="1" applyFill="1" applyBorder="1"/>
    <xf numFmtId="3" fontId="3" fillId="37" borderId="6" xfId="0" applyNumberFormat="1" applyFont="1" applyFill="1" applyBorder="1"/>
    <xf numFmtId="3" fontId="3" fillId="38" borderId="1" xfId="0" applyNumberFormat="1" applyFont="1" applyFill="1" applyBorder="1"/>
    <xf numFmtId="164" fontId="20" fillId="0" borderId="0" xfId="57" applyNumberFormat="1" applyFont="1" applyFill="1"/>
    <xf numFmtId="3" fontId="40" fillId="2" borderId="1" xfId="0" applyNumberFormat="1" applyFont="1" applyFill="1" applyBorder="1"/>
    <xf numFmtId="3" fontId="3" fillId="0" borderId="1" xfId="0" applyNumberFormat="1" applyFont="1" applyBorder="1"/>
    <xf numFmtId="3" fontId="42" fillId="0" borderId="0" xfId="0" applyNumberFormat="1" applyFont="1" applyAlignment="1">
      <alignment horizontal="center"/>
    </xf>
    <xf numFmtId="3" fontId="43" fillId="0" borderId="0" xfId="0" applyNumberFormat="1" applyFont="1"/>
    <xf numFmtId="0" fontId="10" fillId="0" borderId="0" xfId="0" applyFont="1" applyAlignment="1">
      <alignment horizontal="center"/>
    </xf>
    <xf numFmtId="3" fontId="0" fillId="36" borderId="1" xfId="0" applyNumberFormat="1" applyFill="1" applyBorder="1"/>
    <xf numFmtId="3" fontId="0" fillId="37" borderId="1" xfId="0" applyNumberFormat="1" applyFill="1" applyBorder="1"/>
    <xf numFmtId="3" fontId="2" fillId="37" borderId="1" xfId="0" applyNumberFormat="1" applyFont="1" applyFill="1" applyBorder="1"/>
    <xf numFmtId="3" fontId="3" fillId="39" borderId="1" xfId="0" applyNumberFormat="1" applyFont="1" applyFill="1" applyBorder="1"/>
    <xf numFmtId="164" fontId="0" fillId="39" borderId="1" xfId="57" applyNumberFormat="1" applyFont="1" applyFill="1" applyBorder="1"/>
    <xf numFmtId="3" fontId="0" fillId="39" borderId="1" xfId="0" applyNumberFormat="1" applyFill="1" applyBorder="1"/>
    <xf numFmtId="3" fontId="0" fillId="39" borderId="5" xfId="0" applyNumberFormat="1" applyFill="1" applyBorder="1"/>
    <xf numFmtId="3" fontId="0" fillId="39" borderId="3" xfId="0" applyNumberFormat="1" applyFill="1" applyBorder="1"/>
    <xf numFmtId="3" fontId="0" fillId="38" borderId="1" xfId="0" applyNumberFormat="1" applyFill="1" applyBorder="1"/>
    <xf numFmtId="3" fontId="18" fillId="38" borderId="1" xfId="1" applyNumberFormat="1" applyFill="1" applyBorder="1"/>
    <xf numFmtId="3" fontId="0" fillId="38" borderId="5" xfId="0" applyNumberFormat="1" applyFill="1" applyBorder="1"/>
    <xf numFmtId="3" fontId="0" fillId="38" borderId="3" xfId="0" applyNumberFormat="1" applyFill="1" applyBorder="1"/>
    <xf numFmtId="3" fontId="3" fillId="38" borderId="5" xfId="0" applyNumberFormat="1" applyFont="1" applyFill="1" applyBorder="1"/>
    <xf numFmtId="3" fontId="0" fillId="37" borderId="3" xfId="0" applyNumberFormat="1" applyFill="1" applyBorder="1"/>
    <xf numFmtId="3" fontId="3" fillId="37" borderId="2" xfId="0" applyNumberFormat="1" applyFont="1" applyFill="1" applyBorder="1"/>
    <xf numFmtId="3" fontId="0" fillId="37" borderId="2" xfId="0" applyNumberFormat="1" applyFont="1" applyFill="1" applyBorder="1"/>
    <xf numFmtId="3" fontId="0" fillId="37" borderId="1" xfId="0" applyNumberFormat="1" applyFont="1" applyFill="1" applyBorder="1"/>
    <xf numFmtId="3" fontId="3" fillId="37" borderId="4" xfId="0" applyNumberFormat="1" applyFont="1" applyFill="1" applyBorder="1"/>
    <xf numFmtId="3" fontId="0" fillId="37" borderId="5" xfId="0" applyNumberFormat="1" applyFill="1" applyBorder="1"/>
    <xf numFmtId="3" fontId="0" fillId="37" borderId="4" xfId="0" applyNumberFormat="1" applyFill="1" applyBorder="1"/>
    <xf numFmtId="3" fontId="3" fillId="37" borderId="5" xfId="0" applyNumberFormat="1" applyFont="1" applyFill="1" applyBorder="1"/>
    <xf numFmtId="3" fontId="0" fillId="37" borderId="4" xfId="0" applyNumberFormat="1" applyFont="1" applyFill="1" applyBorder="1"/>
    <xf numFmtId="3" fontId="2" fillId="37" borderId="5" xfId="0" applyNumberFormat="1" applyFont="1" applyFill="1" applyBorder="1"/>
    <xf numFmtId="3" fontId="0" fillId="36" borderId="5" xfId="0" applyNumberFormat="1" applyFill="1" applyBorder="1"/>
    <xf numFmtId="3" fontId="3" fillId="36" borderId="5" xfId="0" applyNumberFormat="1" applyFont="1" applyFill="1" applyBorder="1"/>
    <xf numFmtId="3" fontId="0" fillId="36" borderId="4" xfId="0" applyNumberFormat="1" applyFill="1" applyBorder="1"/>
    <xf numFmtId="0" fontId="10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7" fontId="2" fillId="2" borderId="6" xfId="0" applyNumberFormat="1" applyFont="1" applyFill="1" applyBorder="1" applyAlignment="1">
      <alignment horizontal="center" vertical="center" textRotation="45"/>
    </xf>
    <xf numFmtId="17" fontId="2" fillId="2" borderId="7" xfId="0" applyNumberFormat="1" applyFont="1" applyFill="1" applyBorder="1" applyAlignment="1">
      <alignment horizontal="center" vertical="center" textRotation="45"/>
    </xf>
    <xf numFmtId="17" fontId="2" fillId="2" borderId="4" xfId="0" applyNumberFormat="1" applyFont="1" applyFill="1" applyBorder="1" applyAlignment="1">
      <alignment horizontal="center" vertical="center" textRotation="45"/>
    </xf>
    <xf numFmtId="0" fontId="7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58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57" builtinId="3"/>
    <cellStyle name="Comma 2" xfId="3" xr:uid="{00000000-0005-0000-0000-00001C000000}"/>
    <cellStyle name="Comma 2 2" xfId="4" xr:uid="{00000000-0005-0000-0000-00001D000000}"/>
    <cellStyle name="Comma 3" xfId="5" xr:uid="{00000000-0005-0000-0000-00001E000000}"/>
    <cellStyle name="Comma 3 2" xfId="55" xr:uid="{00000000-0005-0000-0000-00001F000000}"/>
    <cellStyle name="Comma 4" xfId="2" xr:uid="{00000000-0005-0000-0000-000020000000}"/>
    <cellStyle name="Comma 4 2" xfId="50" xr:uid="{00000000-0005-0000-0000-000021000000}"/>
    <cellStyle name="Comma 5" xfId="7" xr:uid="{00000000-0005-0000-0000-000022000000}"/>
    <cellStyle name="Comma 5 2" xfId="52" xr:uid="{00000000-0005-0000-0000-000023000000}"/>
    <cellStyle name="Comma 6" xfId="54" xr:uid="{00000000-0005-0000-0000-000024000000}"/>
    <cellStyle name="Explanatory Text" xfId="23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2" xfId="1" xr:uid="{00000000-0005-0000-0000-00002F000000}"/>
    <cellStyle name="Normal 2 2" xfId="49" xr:uid="{00000000-0005-0000-0000-000030000000}"/>
    <cellStyle name="Normal 2 3" xfId="56" xr:uid="{00000000-0005-0000-0000-000031000000}"/>
    <cellStyle name="Normal 3" xfId="6" xr:uid="{00000000-0005-0000-0000-000032000000}"/>
    <cellStyle name="Normal 3 2" xfId="51" xr:uid="{00000000-0005-0000-0000-000033000000}"/>
    <cellStyle name="Normal 4" xfId="53" xr:uid="{00000000-0005-0000-0000-000034000000}"/>
    <cellStyle name="Note" xfId="22" builtinId="10" customBuiltin="1"/>
    <cellStyle name="Output" xfId="17" builtinId="21" customBuiltin="1"/>
    <cellStyle name="Title" xfId="8" builtinId="15" customBuiltin="1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D:\Backup%20of%20E%20Files\FY25%20Vehicle%20Performance%20Measures\FY25%20Vehicle%20Performance\FY25%20July%20Reporting\DRPT%20Monthly%20Performance%20Measures\July24\FY2025%20Ridership%20APC%20MonthbyMonthRoutebyRoute%20with%20chart.xls" TargetMode="External"/><Relationship Id="rId2" Type="http://schemas.microsoft.com/office/2019/04/relationships/externalLinkLongPath" Target="https://charlottesville-my.sharepoint.com/Backup%20of%20E%20Files/FY25%20Vehicle%20Performance%20Measures/FY25%20Vehicle%20Performance/FY25%20July%20Reporting/DRPT%20Monthly%20Performance%20Measures/July24/FY2025%20Ridership%20APC%20MonthbyMonthRoutebyRoute%20with%20chart.xls?C008F828" TargetMode="External"/><Relationship Id="rId1" Type="http://schemas.openxmlformats.org/officeDocument/2006/relationships/externalLinkPath" Target="file:///\\C008F828\FY2025%20Ridership%20APC%20MonthbyMonthRoutebyRoute%20with%20chart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oodson\AppData\Local\Microsoft\Windows\INetCache\Content.Outlook\EDLGBZNH\FY2024%20Ridership%20APC%20MonthbyMonthRoutebyRoute%20with%20chart.xls" TargetMode="External"/><Relationship Id="rId1" Type="http://schemas.openxmlformats.org/officeDocument/2006/relationships/externalLinkPath" Target="/Users/woodson/AppData/Local/Microsoft/Windows/INetCache/Content.Outlook/EDLGBZNH/FY2024%20Ridership%20APC%20MonthbyMonthRoutebyRoute%20with%20chart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of%20E%20Files\FY24%20Vehicle%20Performance\April24\FY2024%20Ridership%20APC%20MonthbyMonthRoutebyRoute%20with%20chart.xlsx" TargetMode="External"/><Relationship Id="rId1" Type="http://schemas.openxmlformats.org/officeDocument/2006/relationships/externalLinkPath" Target="https://charlottesville-my.sharepoint.com/Backup%20of%20E%20Files/FY24%20Vehicle%20Performance/April24/FY2024%20Ridership%20APC%20MonthbyMonthRoutebyRoute%20with%20chart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of%20E%20Files\FY24%20Vehicle%20Performance\FY24%20June%20Vehicle%20Performance%20Measures\FY2024%20Ridership%20APC%20MonthbyMonthRoutebyRoute%20with%20chart%20(2).xls" TargetMode="External"/><Relationship Id="rId1" Type="http://schemas.openxmlformats.org/officeDocument/2006/relationships/externalLinkPath" Target="https://charlottesville-my.sharepoint.com/Backup%20of%20E%20Files/FY24%20Vehicle%20Performance/FY24%20June%20Vehicle%20Performance%20Measures/FY2024%20Ridership%20APC%20MonthbyMonthRoutebyRoute%20with%20chart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rlottesville-my.sharepoint.com/Backup%20of%20E%20Files/FY24%20Vehicle%20Performance/FY2023%20Ridership%20APC%20MonthbyMonth&amp;RoutebyRoute%20with%20chart-DON'T%20REMOV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WTRANSIT\Charlottesville%20Area%20Transit\Asst%20Director%20for%20Finance%20and%20Grants\Performance%20Statistics\FY2023\May23\FY2023%20Ridership%20APC%20MonthbyMonth&amp;RoutebyRoute%20with%20chart-DON'T%20REMOV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WTRANSIT\Charlottesville%20Area%20Transit\Asst%20Director%20for%20Finance%20and%20Grants\Performance%20Statistics\FY2023\June%2023\FY2023%20Ridership%20APC%20MonthbyMonth&amp;RoutebyRoute%20with%20chart-DON'T%20REMOV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arlottesville-my.sharepoint.com/FY23%20Vehicle%20Performance/October22%20Performance%20Measures/FY2023%20Ridership%20APC%20MonthbyMonth&amp;RoutebyRoute%20with%20chart-DON'T%20REMOVE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D:\Backup%20of%20D%20Files\FY25%20Vehicle%20Performance%20Measures\September%202024\FY2025%20Ridership%20APC%20MonthbyMonthRoutebyRoute%20with%20chart.xls" TargetMode="External"/><Relationship Id="rId2" Type="http://schemas.microsoft.com/office/2019/04/relationships/externalLinkLongPath" Target="https://charlottesville-my.sharepoint.com/personal/woodson_charlottesville_gov/Documents/Desktop/Performance%20Measures/FY25%20Vehicle%20Performance%20Measures/September%202024/FY2025%20Ridership%20APC%20MonthbyMonthRoutebyRoute%20with%20chart.xls?152D88AF" TargetMode="External"/><Relationship Id="rId1" Type="http://schemas.openxmlformats.org/officeDocument/2006/relationships/externalLinkPath" Target="file:///\\152D88AF\FY2025%20Ridership%20APC%20MonthbyMonthRoutebyRoute%20with%20char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oodson\AppData\Local\Microsoft\Windows\INetCache\Content.Outlook\49IF8CT6\FY2025%20Ridership%20APC%20MonthbyMonthRoutebyRoute%20with%20chart.xls" TargetMode="External"/><Relationship Id="rId1" Type="http://schemas.openxmlformats.org/officeDocument/2006/relationships/externalLinkPath" Target="/Users/woodson/AppData/Local/Microsoft/Windows/INetCache/Content.Outlook/49IF8CT6/FY2025%20Ridership%20APC%20MonthbyMonthRoutebyRoute%20with%20chart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D:\Backup%20of%20D%20Files\FY25%20Vehicle%20Performance%20Measures\August%202024\FY2025%20Ridership%20APC%20MonthbyMonthRoutebyRoute%20with%20chart.xls" TargetMode="External"/><Relationship Id="rId2" Type="http://schemas.microsoft.com/office/2019/04/relationships/externalLinkLongPath" Target="https://charlottesville-my.sharepoint.com/personal/woodson_charlottesville_gov/Documents/Desktop/Performance%20Measures/FY25%20Vehicle%20Performance%20Measures/August%202024/FY2025%20Ridership%20APC%20MonthbyMonthRoutebyRoute%20with%20chart.xls?1FF49D04" TargetMode="External"/><Relationship Id="rId1" Type="http://schemas.openxmlformats.org/officeDocument/2006/relationships/externalLinkPath" Target="file:///\\1FF49D04\FY2025%20Ridership%20APC%20MonthbyMonthRoutebyRoute%20with%20chart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D:\Backup%20of%20D%20Files\FY25%20Vehicle%20Performance%20Measures\October%202024\FY2025%20Ridership%20APC%20MonthbyMonthRoutebyRoute%20with%20chart.xls" TargetMode="External"/><Relationship Id="rId2" Type="http://schemas.microsoft.com/office/2019/04/relationships/externalLinkLongPath" Target="https://charlottesville-my.sharepoint.com/personal/woodson_charlottesville_gov/Documents/Desktop/Performance%20Measures/FY25%20Vehicle%20Performance%20Measures/October%202024/FY2025%20Ridership%20APC%20MonthbyMonthRoutebyRoute%20with%20chart.xls?888CDA50" TargetMode="External"/><Relationship Id="rId1" Type="http://schemas.openxmlformats.org/officeDocument/2006/relationships/externalLinkPath" Target="file:///\\888CDA50\FY2025%20Ridership%20APC%20MonthbyMonthRoutebyRoute%20with%20chart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harlottesville-my.sharepoint.com/personal/woodson_charlottesville_gov/Documents/Desktop/Performance%20Measures/FY25%20Vehicle%20Performance%20Measures/December%202024/FY2025%20Ridership%20APC%20MonthbyMonthRoutebyRoute%20with%20chart.xls" TargetMode="External"/><Relationship Id="rId2" Type="http://schemas.microsoft.com/office/2019/04/relationships/externalLinkLongPath" Target="https://charlottesville-my.sharepoint.com/personal/woodson_charlottesville_gov/Documents/Desktop/Performance%20Measures/FY25%20Vehicle%20Performance%20Measures/December%202024/FY2025%20Ridership%20APC%20MonthbyMonthRoutebyRoute%20with%20chart.xls?6B3D0396" TargetMode="External"/><Relationship Id="rId1" Type="http://schemas.openxmlformats.org/officeDocument/2006/relationships/externalLinkPath" Target="file:///\\6B3D0396\FY2025%20Ridership%20APC%20MonthbyMonthRoutebyRoute%20with%20char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of%20D%20Files\FY25%20Vehicle%20Performance%20Measures\January25\FY2025%20Ridership%20APC%20MonthbyMonthRoutebyRoute%20with%20chart.xls" TargetMode="External"/><Relationship Id="rId1" Type="http://schemas.openxmlformats.org/officeDocument/2006/relationships/externalLinkPath" Target="file:///D:\Backup%20of%20D%20Files\FY25%20Vehicle%20Performance%20Measures\January25\FY2025%20Ridership%20APC%20MonthbyMonthRoutebyRoute%20with%20chart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WTRANSIT\Charlottesville%20Area%20Transit\Asst%20Director%20for%20Finance%20and%20Grants\Performance%20Statistics\FY2024%20Ridership%20APC%20MonthbyMonthRoutebyRoute%20with%20chart.xls" TargetMode="External"/><Relationship Id="rId1" Type="http://schemas.openxmlformats.org/officeDocument/2006/relationships/externalLinkPath" Target="file:///J:\PWTRANSIT\Charlottesville%20Area%20Transit\Asst%20Director%20for%20Finance%20and%20Grants\Performance%20Statistics\FY2024%20Ridership%20APC%20MonthbyMonthRoutebyRoute%20with%20chart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of%20E%20Files\FY24%20Vehicle%20Performance\March24%20Performance%20Worksheets\FY2024%20Ridership%20APC%20MonthbyMonthRoutebyRoute%20with%20chart.xls" TargetMode="External"/><Relationship Id="rId1" Type="http://schemas.openxmlformats.org/officeDocument/2006/relationships/externalLinkPath" Target="https://charlottesville-my.sharepoint.com/Backup%20of%20E%20Files/FY24%20Vehicle%20Performance/March24%20Performance%20Worksheets/FY2024%20Ridership%20APC%20MonthbyMonthRoutebyRoute%20with%20ch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heet1"/>
      <sheetName val="Chart Ridership FY23"/>
      <sheetName val="Chart1"/>
      <sheetName val="yearly ridership chart"/>
      <sheetName val="Ridership FY24 -"/>
      <sheetName val="July 2024 APC"/>
      <sheetName val="August 2024 APC"/>
      <sheetName val="December 2024 APC"/>
      <sheetName val="June 2025 APC"/>
      <sheetName val="May 2025 APC"/>
      <sheetName val="April 2025 APC"/>
      <sheetName val="March 2025 APC"/>
      <sheetName val="February 2025 APC"/>
      <sheetName val="January 2025 APC"/>
      <sheetName val="November 2024 APC"/>
      <sheetName val="October 2024 APC"/>
      <sheetName val="September 2024 APC"/>
      <sheetName val="month template 2024 APC"/>
      <sheetName val="NFRouteRidership_April2024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3">
          <cell r="Q3">
            <v>2523</v>
          </cell>
        </row>
        <row r="6">
          <cell r="Q6">
            <v>8870</v>
          </cell>
        </row>
        <row r="9">
          <cell r="Q9">
            <v>11740</v>
          </cell>
        </row>
        <row r="12">
          <cell r="Q12">
            <v>8089.9729729729734</v>
          </cell>
        </row>
        <row r="15">
          <cell r="Q15">
            <v>17095.060606060608</v>
          </cell>
        </row>
        <row r="18">
          <cell r="Q18">
            <v>8158</v>
          </cell>
        </row>
        <row r="21">
          <cell r="Q21">
            <v>26743.363636363636</v>
          </cell>
        </row>
        <row r="24">
          <cell r="Q24">
            <v>8044</v>
          </cell>
        </row>
        <row r="27">
          <cell r="Q27">
            <v>2692.2678169542382</v>
          </cell>
        </row>
        <row r="30">
          <cell r="Q30">
            <v>6992</v>
          </cell>
        </row>
        <row r="33">
          <cell r="Q33">
            <v>6364</v>
          </cell>
        </row>
        <row r="36">
          <cell r="Q36">
            <v>10326.894736842105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art Ridership FY23"/>
      <sheetName val="Chart1"/>
      <sheetName val="yearly ridership chart"/>
      <sheetName val="Ridership FY24 -"/>
      <sheetName val="February 2024 APC"/>
      <sheetName val="January 2024 APC"/>
      <sheetName val="December 2023 APC"/>
      <sheetName val="November 2023 APC"/>
      <sheetName val="October 2023 APC"/>
      <sheetName val="September 2023 APC"/>
      <sheetName val="August 2023 APC"/>
      <sheetName val="July 2023 APC"/>
      <sheetName val="March 2024 APC"/>
      <sheetName val="April 2024 APC"/>
      <sheetName val="May 2024 APC"/>
      <sheetName val="June 2024 APC"/>
      <sheetName val="month template 2024 A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Q3">
            <v>2967</v>
          </cell>
        </row>
        <row r="6">
          <cell r="Q6">
            <v>7531</v>
          </cell>
        </row>
        <row r="9">
          <cell r="Q9">
            <v>9612</v>
          </cell>
        </row>
        <row r="12">
          <cell r="Q12">
            <v>6974.3243243243242</v>
          </cell>
        </row>
        <row r="15">
          <cell r="Q15">
            <v>16795.621212121212</v>
          </cell>
        </row>
        <row r="18">
          <cell r="Q18">
            <v>6222</v>
          </cell>
        </row>
        <row r="21">
          <cell r="Q21">
            <v>28657.272727272728</v>
          </cell>
        </row>
        <row r="24">
          <cell r="Q24">
            <v>6806</v>
          </cell>
        </row>
        <row r="27">
          <cell r="Q27">
            <v>3294.2093023255816</v>
          </cell>
        </row>
        <row r="30">
          <cell r="Q30">
            <v>5778</v>
          </cell>
        </row>
        <row r="33">
          <cell r="Q33">
            <v>6091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art Ridership FY23"/>
      <sheetName val="Chart1"/>
      <sheetName val="yearly ridership chart"/>
      <sheetName val="Ridership FY24 -"/>
      <sheetName val="April 2024 APC"/>
      <sheetName val="March 2024 APC"/>
      <sheetName val="February 2024 APC"/>
      <sheetName val="January 2024 APC"/>
      <sheetName val="December 2023 APC"/>
      <sheetName val="October 2023 APC"/>
      <sheetName val="November 2023 APC"/>
      <sheetName val="September 2023 APC"/>
      <sheetName val="August 2023 APC"/>
      <sheetName val="July 2023 APC"/>
      <sheetName val="May 2024 APC"/>
      <sheetName val="June 2024 APC"/>
      <sheetName val="month template 2024 APC"/>
      <sheetName val="NFRouteRidership_April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Q3">
            <v>2765</v>
          </cell>
        </row>
        <row r="6">
          <cell r="Q6">
            <v>8606</v>
          </cell>
        </row>
        <row r="9">
          <cell r="Q9">
            <v>11284</v>
          </cell>
        </row>
        <row r="12">
          <cell r="Q12">
            <v>7358.594594594595</v>
          </cell>
        </row>
        <row r="15">
          <cell r="Q15">
            <v>17026.164772727272</v>
          </cell>
        </row>
        <row r="18">
          <cell r="Q18">
            <v>7371</v>
          </cell>
        </row>
        <row r="21">
          <cell r="Q21">
            <v>30898.511363636364</v>
          </cell>
        </row>
        <row r="24">
          <cell r="Q24">
            <v>6999</v>
          </cell>
        </row>
        <row r="27">
          <cell r="Q27">
            <v>3392.9302325581393</v>
          </cell>
        </row>
        <row r="30">
          <cell r="Q30">
            <v>6815</v>
          </cell>
        </row>
        <row r="33">
          <cell r="Q33">
            <v>6379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art Ridership FY23"/>
      <sheetName val="Chart1"/>
      <sheetName val="yearly ridership chart"/>
      <sheetName val="Ridership FY24 -"/>
      <sheetName val="June 2024 APC"/>
      <sheetName val="May 2024 APC"/>
      <sheetName val="April 2024 APC"/>
      <sheetName val="March 2024 APC"/>
      <sheetName val="February 2024 APC"/>
      <sheetName val="January 2024 APC"/>
      <sheetName val="December 2023 APC"/>
      <sheetName val="October 2023 APC"/>
      <sheetName val="November 2023 APC"/>
      <sheetName val="September 2023 APC"/>
      <sheetName val="August 2023 APC"/>
      <sheetName val="July 2023 APC"/>
      <sheetName val="month template 2024 APC"/>
      <sheetName val="NFRouteRidership_April2024"/>
    </sheetNames>
    <sheetDataSet>
      <sheetData sheetId="0"/>
      <sheetData sheetId="1"/>
      <sheetData sheetId="2"/>
      <sheetData sheetId="3"/>
      <sheetData sheetId="4"/>
      <sheetData sheetId="5">
        <row r="3">
          <cell r="Q3">
            <v>2282</v>
          </cell>
        </row>
        <row r="6">
          <cell r="Q6">
            <v>8021.71875</v>
          </cell>
        </row>
        <row r="9">
          <cell r="Q9">
            <v>10387</v>
          </cell>
        </row>
        <row r="12">
          <cell r="Q12">
            <v>7249.3693693693695</v>
          </cell>
        </row>
        <row r="15">
          <cell r="Q15">
            <v>17572.484848484848</v>
          </cell>
        </row>
        <row r="18">
          <cell r="Q18">
            <v>7484</v>
          </cell>
        </row>
        <row r="21">
          <cell r="Q21">
            <v>28760.034090909088</v>
          </cell>
        </row>
        <row r="24">
          <cell r="Q24">
            <v>7140</v>
          </cell>
        </row>
        <row r="27">
          <cell r="Q27">
            <v>2985.3255813953488</v>
          </cell>
        </row>
        <row r="30">
          <cell r="Q30">
            <v>6617</v>
          </cell>
        </row>
        <row r="33">
          <cell r="Q33">
            <v>6154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Ridership FY23"/>
      <sheetName val="Chart1"/>
      <sheetName val="Ridership FY23 -"/>
      <sheetName val="June 2023 APC"/>
      <sheetName val="May 2023 APC"/>
      <sheetName val="April 2023 APC"/>
      <sheetName val="March 2023 APC"/>
      <sheetName val="February 2023 APC"/>
      <sheetName val="January 2023 APC"/>
      <sheetName val="December 2022 APC"/>
      <sheetName val="November 2022 APC"/>
      <sheetName val="October 2022 APC"/>
      <sheetName val="September 2022 APC"/>
      <sheetName val="August 2022 APC"/>
      <sheetName val="July 2022 APC"/>
    </sheetNames>
    <sheetDataSet>
      <sheetData sheetId="0"/>
      <sheetData sheetId="1"/>
      <sheetData sheetId="2"/>
      <sheetData sheetId="3"/>
      <sheetData sheetId="4"/>
      <sheetData sheetId="5">
        <row r="3">
          <cell r="Q3">
            <v>2743</v>
          </cell>
        </row>
        <row r="6">
          <cell r="Q6">
            <v>5677.171875</v>
          </cell>
        </row>
        <row r="9">
          <cell r="Q9">
            <v>8915</v>
          </cell>
        </row>
        <row r="12">
          <cell r="Q12">
            <v>5669.9189189999997</v>
          </cell>
        </row>
        <row r="15">
          <cell r="Q15">
            <v>12364.454546000001</v>
          </cell>
        </row>
        <row r="18">
          <cell r="Q18">
            <v>4789</v>
          </cell>
        </row>
        <row r="21">
          <cell r="Q21">
            <v>19940.151512</v>
          </cell>
        </row>
        <row r="24">
          <cell r="Q24">
            <v>6680.5416667</v>
          </cell>
        </row>
        <row r="27">
          <cell r="Q27">
            <v>2332.4538634</v>
          </cell>
        </row>
        <row r="30">
          <cell r="Q30">
            <v>4923</v>
          </cell>
        </row>
        <row r="33">
          <cell r="Q33">
            <v>6362</v>
          </cell>
        </row>
        <row r="36">
          <cell r="Q36">
            <v>12326.947371999999</v>
          </cell>
        </row>
      </sheetData>
      <sheetData sheetId="6"/>
      <sheetData sheetId="7">
        <row r="3">
          <cell r="Q3">
            <v>2776</v>
          </cell>
        </row>
        <row r="6">
          <cell r="Q6">
            <v>5284</v>
          </cell>
        </row>
        <row r="9">
          <cell r="Q9">
            <v>8338</v>
          </cell>
        </row>
        <row r="12">
          <cell r="Q12">
            <v>5440</v>
          </cell>
        </row>
        <row r="15">
          <cell r="Q15">
            <v>11829</v>
          </cell>
        </row>
        <row r="18">
          <cell r="Q18">
            <v>4994</v>
          </cell>
        </row>
        <row r="21">
          <cell r="Q21">
            <v>19901</v>
          </cell>
        </row>
        <row r="24">
          <cell r="Q24">
            <v>6075</v>
          </cell>
        </row>
        <row r="27">
          <cell r="Q27">
            <v>4069</v>
          </cell>
        </row>
        <row r="30">
          <cell r="Q30">
            <v>4665</v>
          </cell>
        </row>
        <row r="33">
          <cell r="Q33">
            <v>5277</v>
          </cell>
        </row>
      </sheetData>
      <sheetData sheetId="8">
        <row r="3">
          <cell r="Q3">
            <v>2478.523076923077</v>
          </cell>
        </row>
        <row r="6">
          <cell r="Q6">
            <v>5182.7473684210527</v>
          </cell>
        </row>
        <row r="9">
          <cell r="Q9">
            <v>9264</v>
          </cell>
        </row>
        <row r="12">
          <cell r="Q12">
            <v>6115.27027027027</v>
          </cell>
        </row>
        <row r="15">
          <cell r="Q15">
            <v>10439.84375</v>
          </cell>
        </row>
        <row r="18">
          <cell r="Q18">
            <v>5366.5</v>
          </cell>
        </row>
        <row r="21">
          <cell r="Q21">
            <v>19613.633928571428</v>
          </cell>
        </row>
        <row r="24">
          <cell r="Q24">
            <v>7164</v>
          </cell>
        </row>
        <row r="27">
          <cell r="Q27">
            <v>3813.1395348837209</v>
          </cell>
        </row>
        <row r="30">
          <cell r="Q30">
            <v>4890</v>
          </cell>
        </row>
        <row r="33">
          <cell r="Q33">
            <v>5965</v>
          </cell>
        </row>
      </sheetData>
      <sheetData sheetId="9">
        <row r="3">
          <cell r="Q3">
            <v>2764</v>
          </cell>
        </row>
        <row r="6">
          <cell r="Q6">
            <v>5319</v>
          </cell>
        </row>
        <row r="9">
          <cell r="Q9">
            <v>9003</v>
          </cell>
        </row>
        <row r="12">
          <cell r="Q12">
            <v>5385</v>
          </cell>
        </row>
        <row r="15">
          <cell r="Q15">
            <v>9829</v>
          </cell>
        </row>
        <row r="18">
          <cell r="Q18">
            <v>5026</v>
          </cell>
        </row>
        <row r="21">
          <cell r="Q21">
            <v>15346</v>
          </cell>
        </row>
        <row r="24">
          <cell r="Q24">
            <v>7476</v>
          </cell>
        </row>
        <row r="27">
          <cell r="Q27">
            <v>3524</v>
          </cell>
        </row>
        <row r="30">
          <cell r="Q30">
            <v>4567</v>
          </cell>
        </row>
        <row r="33">
          <cell r="Q33">
            <v>7108</v>
          </cell>
        </row>
      </sheetData>
      <sheetData sheetId="10">
        <row r="3">
          <cell r="Q3">
            <v>2647.4923076923078</v>
          </cell>
        </row>
        <row r="6">
          <cell r="Q6">
            <v>4798.136842105263</v>
          </cell>
        </row>
        <row r="9">
          <cell r="Q9">
            <v>8211</v>
          </cell>
        </row>
        <row r="12">
          <cell r="Q12">
            <v>4878.6621621621625</v>
          </cell>
        </row>
        <row r="15">
          <cell r="Q15">
            <v>10092.629875886525</v>
          </cell>
        </row>
        <row r="18">
          <cell r="Q18">
            <v>4759</v>
          </cell>
        </row>
        <row r="21">
          <cell r="Q21">
            <v>16692.963541666668</v>
          </cell>
        </row>
        <row r="24">
          <cell r="Q24">
            <v>6858</v>
          </cell>
        </row>
        <row r="27">
          <cell r="Q27">
            <v>2572.4594594594596</v>
          </cell>
        </row>
        <row r="30">
          <cell r="Q30">
            <v>4542</v>
          </cell>
        </row>
        <row r="33">
          <cell r="Q33">
            <v>6060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Ridership FY23"/>
      <sheetName val="Chart1"/>
      <sheetName val="Ridership FY23 -"/>
      <sheetName val="May 2023 APC"/>
      <sheetName val="April 2023 APC"/>
      <sheetName val="March 2023 APC"/>
      <sheetName val="February 2023 APC"/>
      <sheetName val="January 2023 APC"/>
      <sheetName val="December 2022 APC"/>
      <sheetName val="November 2022 APC"/>
      <sheetName val="October 2022 APC"/>
      <sheetName val="September 2022 APC"/>
      <sheetName val="August 2022 APC"/>
      <sheetName val="July 2022 APC"/>
      <sheetName val="June 2023 APC"/>
    </sheetNames>
    <sheetDataSet>
      <sheetData sheetId="0"/>
      <sheetData sheetId="1"/>
      <sheetData sheetId="2"/>
      <sheetData sheetId="3">
        <row r="3">
          <cell r="Q3">
            <v>2249</v>
          </cell>
        </row>
        <row r="6">
          <cell r="Q6">
            <v>6538</v>
          </cell>
        </row>
        <row r="9">
          <cell r="Q9">
            <v>8772</v>
          </cell>
        </row>
        <row r="12">
          <cell r="Q12">
            <v>5686</v>
          </cell>
        </row>
        <row r="15">
          <cell r="Q15">
            <v>11997</v>
          </cell>
        </row>
        <row r="18">
          <cell r="Q18">
            <v>5159</v>
          </cell>
        </row>
        <row r="21">
          <cell r="Q21">
            <v>19531</v>
          </cell>
        </row>
        <row r="24">
          <cell r="Q24">
            <v>6913</v>
          </cell>
        </row>
        <row r="27">
          <cell r="Q27">
            <v>3005</v>
          </cell>
        </row>
        <row r="30">
          <cell r="Q30">
            <v>5026</v>
          </cell>
        </row>
        <row r="33">
          <cell r="Q33">
            <v>6276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Ridership FY23"/>
      <sheetName val="Chart1"/>
      <sheetName val="Ridership FY23 -"/>
      <sheetName val="June 2023 APC"/>
      <sheetName val="May 2023 APC"/>
      <sheetName val="April 2023 APC"/>
      <sheetName val="March 2023 APC"/>
      <sheetName val="February 2023 APC"/>
      <sheetName val="January 2023 APC"/>
      <sheetName val="December 2022 APC"/>
      <sheetName val="November 2022 APC"/>
      <sheetName val="October 2022 APC"/>
      <sheetName val="September 2022 APC"/>
      <sheetName val="August 2022 APC"/>
      <sheetName val="July 2022 APC"/>
    </sheetNames>
    <sheetDataSet>
      <sheetData sheetId="0"/>
      <sheetData sheetId="1"/>
      <sheetData sheetId="2"/>
      <sheetData sheetId="3">
        <row r="3">
          <cell r="Q3">
            <v>2450</v>
          </cell>
        </row>
        <row r="6">
          <cell r="Q6">
            <v>7007</v>
          </cell>
        </row>
        <row r="9">
          <cell r="Q9">
            <v>9511</v>
          </cell>
        </row>
        <row r="12">
          <cell r="Q12">
            <v>6114</v>
          </cell>
        </row>
        <row r="15">
          <cell r="Q15">
            <v>14023</v>
          </cell>
        </row>
        <row r="18">
          <cell r="Q18">
            <v>5378</v>
          </cell>
        </row>
        <row r="21">
          <cell r="Q21">
            <v>23471</v>
          </cell>
        </row>
        <row r="24">
          <cell r="Q24">
            <v>7557</v>
          </cell>
        </row>
        <row r="27">
          <cell r="Q27">
            <v>2146</v>
          </cell>
        </row>
        <row r="30">
          <cell r="Q30">
            <v>5227</v>
          </cell>
        </row>
        <row r="33">
          <cell r="Q33">
            <v>6436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Ridership FY23"/>
      <sheetName val="Ridership FY23 -"/>
      <sheetName val="October 2022 APC"/>
      <sheetName val="September 2022 APC"/>
      <sheetName val="August 2022 APC"/>
      <sheetName val="July 2022 APC"/>
      <sheetName val="November 2022 APC"/>
      <sheetName val="December 2022 APC"/>
      <sheetName val="January 2023 APC"/>
      <sheetName val="February 2023 APC"/>
      <sheetName val="March 2023 APC"/>
      <sheetName val="April 2023 APC"/>
      <sheetName val="May 2023 APC"/>
      <sheetName val="June 2023 APC"/>
    </sheetNames>
    <sheetDataSet>
      <sheetData sheetId="0" refreshError="1"/>
      <sheetData sheetId="1" refreshError="1"/>
      <sheetData sheetId="2" refreshError="1">
        <row r="15">
          <cell r="O15">
            <v>15491</v>
          </cell>
        </row>
        <row r="18">
          <cell r="O18">
            <v>5154</v>
          </cell>
        </row>
        <row r="21">
          <cell r="O21">
            <v>28863</v>
          </cell>
        </row>
        <row r="24">
          <cell r="O24">
            <v>6654</v>
          </cell>
        </row>
        <row r="27">
          <cell r="O27">
            <v>4050</v>
          </cell>
        </row>
        <row r="30">
          <cell r="O30">
            <v>5192</v>
          </cell>
        </row>
        <row r="33">
          <cell r="O33">
            <v>6055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heet1"/>
      <sheetName val="Chart Ridership FY23"/>
      <sheetName val="Chart1"/>
      <sheetName val="yearly ridership chart"/>
      <sheetName val="Ridership FY24 -"/>
      <sheetName val="September 2024 APC"/>
      <sheetName val="August 2024 APC"/>
      <sheetName val="July 2024 APC"/>
      <sheetName val="June 2025 APC"/>
      <sheetName val="May 2025 APC"/>
      <sheetName val="April 2025 APC"/>
      <sheetName val="March 2025 APC"/>
      <sheetName val="February 2025 APC"/>
      <sheetName val="January 2025 APC"/>
      <sheetName val="December 2024 APC"/>
      <sheetName val="November 2024 APC"/>
      <sheetName val="October 2024 APC"/>
      <sheetName val="month template 2024 APC"/>
      <sheetName val="NFRouteRidership_April2024"/>
    </sheetNames>
    <sheetDataSet>
      <sheetData sheetId="0"/>
      <sheetData sheetId="1"/>
      <sheetData sheetId="2"/>
      <sheetData sheetId="3"/>
      <sheetData sheetId="4"/>
      <sheetData sheetId="5">
        <row r="3">
          <cell r="Q3">
            <v>3303</v>
          </cell>
        </row>
        <row r="6">
          <cell r="Q6">
            <v>7302</v>
          </cell>
        </row>
        <row r="9">
          <cell r="Q9">
            <v>9862</v>
          </cell>
        </row>
        <row r="12">
          <cell r="Q12">
            <v>7166.0630630630631</v>
          </cell>
        </row>
        <row r="15">
          <cell r="Q15">
            <v>17153.454545454544</v>
          </cell>
        </row>
        <row r="18">
          <cell r="Q18">
            <v>7421.083333333333</v>
          </cell>
        </row>
        <row r="21">
          <cell r="Q21">
            <v>33989.977272727272</v>
          </cell>
        </row>
        <row r="24">
          <cell r="Q24">
            <v>6912</v>
          </cell>
        </row>
        <row r="27">
          <cell r="Q27">
            <v>3383.2093023255816</v>
          </cell>
        </row>
        <row r="30">
          <cell r="Q30">
            <v>6499</v>
          </cell>
        </row>
        <row r="33">
          <cell r="Q33">
            <v>6123</v>
          </cell>
        </row>
        <row r="36">
          <cell r="Q36">
            <v>12910.197368421053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art1"/>
      <sheetName val="yearly ridership chart"/>
      <sheetName val="Ridership FY25 -"/>
      <sheetName val="March 2025 APC"/>
      <sheetName val="February 2025 APC "/>
      <sheetName val="January 2025 APC"/>
      <sheetName val="December 2024 APC"/>
      <sheetName val="November 2024 APC"/>
      <sheetName val="October 2024 APC"/>
      <sheetName val="September 2024 APC"/>
      <sheetName val="August 2024 APC"/>
      <sheetName val="July 2024 APC"/>
      <sheetName val="June 2025 APC"/>
      <sheetName val="May 2025 APC"/>
      <sheetName val="April 2025 APC"/>
      <sheetName val="month template 2024 APC"/>
      <sheetName val="NFRouteRidership_April2024"/>
    </sheetNames>
    <sheetDataSet>
      <sheetData sheetId="0"/>
      <sheetData sheetId="1" refreshError="1"/>
      <sheetData sheetId="2" refreshError="1"/>
      <sheetData sheetId="3"/>
      <sheetData sheetId="4">
        <row r="3">
          <cell r="Q3">
            <v>2867.0901960784313</v>
          </cell>
        </row>
        <row r="6">
          <cell r="Q6">
            <v>7830</v>
          </cell>
        </row>
        <row r="9">
          <cell r="Q9">
            <v>9905</v>
          </cell>
        </row>
        <row r="12">
          <cell r="Q12">
            <v>7930</v>
          </cell>
        </row>
        <row r="15">
          <cell r="Q15">
            <v>15511.569921875</v>
          </cell>
        </row>
        <row r="18">
          <cell r="Q18">
            <v>9282.7982456140344</v>
          </cell>
        </row>
        <row r="21">
          <cell r="Q21">
            <v>28439.620202020204</v>
          </cell>
        </row>
        <row r="24">
          <cell r="Q24">
            <v>6468</v>
          </cell>
        </row>
        <row r="27">
          <cell r="Q27">
            <v>3829</v>
          </cell>
        </row>
        <row r="30">
          <cell r="Q30">
            <v>5900</v>
          </cell>
        </row>
        <row r="33">
          <cell r="Q33">
            <v>3818</v>
          </cell>
        </row>
        <row r="36">
          <cell r="Q36">
            <v>13251.18903508772</v>
          </cell>
        </row>
      </sheetData>
      <sheetData sheetId="5">
        <row r="3">
          <cell r="Q3">
            <v>2723</v>
          </cell>
        </row>
        <row r="6">
          <cell r="Q6">
            <v>6787.5625</v>
          </cell>
        </row>
        <row r="9">
          <cell r="Q9">
            <v>7956</v>
          </cell>
        </row>
        <row r="12">
          <cell r="Q12">
            <v>7270.6842105263158</v>
          </cell>
        </row>
        <row r="15">
          <cell r="Q15">
            <v>13107.144921875</v>
          </cell>
        </row>
        <row r="18">
          <cell r="Q18">
            <v>8448.646198830409</v>
          </cell>
        </row>
        <row r="21">
          <cell r="Q21">
            <v>26494.436363636363</v>
          </cell>
        </row>
        <row r="24">
          <cell r="Q24">
            <v>4958.5</v>
          </cell>
        </row>
        <row r="27">
          <cell r="Q27">
            <v>3139.5956521739131</v>
          </cell>
        </row>
        <row r="30">
          <cell r="Q30">
            <v>5389.666666666667</v>
          </cell>
        </row>
        <row r="33">
          <cell r="Q33">
            <v>3349.3030303030305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heet1"/>
      <sheetName val="Chart Ridership FY23"/>
      <sheetName val="Chart1"/>
      <sheetName val="yearly ridership chart"/>
      <sheetName val="Ridership FY24 -"/>
      <sheetName val="August 2024 APC"/>
      <sheetName val="July 2024 APC"/>
      <sheetName val="June 2025 APC"/>
      <sheetName val="May 2025 APC"/>
      <sheetName val="April 2025 APC"/>
      <sheetName val="March 2025 APC"/>
      <sheetName val="February 2025 APC"/>
      <sheetName val="January 2025 APC"/>
      <sheetName val="December 2024 APC"/>
      <sheetName val="November 2024 APC"/>
      <sheetName val="October 2024 APC"/>
      <sheetName val="September 2024 APC"/>
      <sheetName val="month template 2024 APC"/>
      <sheetName val="NFRouteRidership_April2024"/>
    </sheetNames>
    <sheetDataSet>
      <sheetData sheetId="0"/>
      <sheetData sheetId="1"/>
      <sheetData sheetId="2"/>
      <sheetData sheetId="3"/>
      <sheetData sheetId="4"/>
      <sheetData sheetId="5">
        <row r="3">
          <cell r="Q3">
            <v>2783</v>
          </cell>
        </row>
        <row r="6">
          <cell r="Q6">
            <v>8816</v>
          </cell>
        </row>
        <row r="9">
          <cell r="Q9">
            <v>11677</v>
          </cell>
        </row>
        <row r="12">
          <cell r="Q12">
            <v>7864.7567567567567</v>
          </cell>
        </row>
        <row r="15">
          <cell r="Q15">
            <v>18438.409090909092</v>
          </cell>
        </row>
        <row r="18">
          <cell r="Q18">
            <v>8621</v>
          </cell>
        </row>
        <row r="21">
          <cell r="Q21">
            <v>22078.054292929297</v>
          </cell>
        </row>
        <row r="24">
          <cell r="Q24">
            <v>7935</v>
          </cell>
        </row>
        <row r="27">
          <cell r="Q27">
            <v>3245.2093023255816</v>
          </cell>
        </row>
        <row r="30">
          <cell r="Q30">
            <v>7531</v>
          </cell>
        </row>
        <row r="33">
          <cell r="Q33">
            <v>6219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heet1"/>
      <sheetName val="Chart Ridership FY23"/>
      <sheetName val="Chart1"/>
      <sheetName val="yearly ridership chart"/>
      <sheetName val="Ridership FY25 -"/>
      <sheetName val="October 2024 APC"/>
      <sheetName val="September 2024 APC"/>
      <sheetName val="August 2024 APC"/>
      <sheetName val="July 2024 APC"/>
      <sheetName val="June 2025 APC"/>
      <sheetName val="May 2025 APC"/>
      <sheetName val="April 2025 APC"/>
      <sheetName val="March 2025 APC"/>
      <sheetName val="February 2025 APC"/>
      <sheetName val="January 2025 APC"/>
      <sheetName val="December 2024 APC"/>
      <sheetName val="November 2024 APC"/>
      <sheetName val="month template 2024 APC"/>
      <sheetName val="NFRouteRidership_April2024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3">
          <cell r="Q3">
            <v>3417</v>
          </cell>
        </row>
        <row r="6">
          <cell r="Q6">
            <v>9178</v>
          </cell>
        </row>
        <row r="9">
          <cell r="Q9">
            <v>10920</v>
          </cell>
        </row>
        <row r="12">
          <cell r="Q12">
            <v>7902.3690729729733</v>
          </cell>
        </row>
        <row r="15">
          <cell r="Q15">
            <v>18933.727272727272</v>
          </cell>
        </row>
        <row r="18">
          <cell r="Q18">
            <v>8653</v>
          </cell>
        </row>
        <row r="21">
          <cell r="Q21">
            <v>34211.625</v>
          </cell>
        </row>
        <row r="24">
          <cell r="Q24">
            <v>7993</v>
          </cell>
        </row>
        <row r="27">
          <cell r="Q27">
            <v>3520</v>
          </cell>
        </row>
        <row r="30">
          <cell r="Q30">
            <v>6942</v>
          </cell>
        </row>
        <row r="33">
          <cell r="Q33">
            <v>6433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heet1"/>
      <sheetName val="Chart1"/>
      <sheetName val="yearly ridership chart"/>
      <sheetName val="Ridership FY25 -"/>
      <sheetName val="December 2024 APC"/>
      <sheetName val="November 2024 APC"/>
      <sheetName val="October 2024 APC"/>
      <sheetName val="September 2024 APC"/>
      <sheetName val="August 2024 APC"/>
      <sheetName val="July 2024 APC"/>
      <sheetName val="June 2025 APC"/>
      <sheetName val="May 2025 APC"/>
      <sheetName val="April 2025 APC"/>
      <sheetName val="March 2025 APC"/>
      <sheetName val="February 2025 APC"/>
      <sheetName val="January 2025 APC"/>
      <sheetName val="month template 2024 APC"/>
      <sheetName val="NFRouteRidership_April2024"/>
    </sheetNames>
    <sheetDataSet>
      <sheetData sheetId="0"/>
      <sheetData sheetId="1" refreshError="1"/>
      <sheetData sheetId="2" refreshError="1"/>
      <sheetData sheetId="3"/>
      <sheetData sheetId="4">
        <row r="3">
          <cell r="Q3">
            <v>2487</v>
          </cell>
        </row>
        <row r="6">
          <cell r="Q6">
            <v>6823</v>
          </cell>
        </row>
        <row r="9">
          <cell r="Q9">
            <v>8009</v>
          </cell>
        </row>
        <row r="12">
          <cell r="Q12">
            <v>6320.9444444444443</v>
          </cell>
        </row>
        <row r="15">
          <cell r="Q15">
            <v>14121.5859375</v>
          </cell>
        </row>
        <row r="18">
          <cell r="Q18">
            <v>8438</v>
          </cell>
        </row>
        <row r="21">
          <cell r="Q21">
            <v>26324.851515151517</v>
          </cell>
        </row>
        <row r="24">
          <cell r="Q24">
            <v>6411</v>
          </cell>
        </row>
        <row r="27">
          <cell r="Q27">
            <v>3051</v>
          </cell>
        </row>
        <row r="30">
          <cell r="Q30">
            <v>5500</v>
          </cell>
        </row>
        <row r="33">
          <cell r="Q33">
            <v>3815</v>
          </cell>
        </row>
      </sheetData>
      <sheetData sheetId="5">
        <row r="4">
          <cell r="Q4">
            <v>3586</v>
          </cell>
        </row>
        <row r="9">
          <cell r="Q9">
            <v>7392</v>
          </cell>
        </row>
        <row r="14">
          <cell r="Q14">
            <v>9288</v>
          </cell>
        </row>
        <row r="19">
          <cell r="Q19">
            <v>6941.439465781571</v>
          </cell>
        </row>
        <row r="24">
          <cell r="Q24">
            <v>16598.114133522729</v>
          </cell>
        </row>
        <row r="29">
          <cell r="Q29">
            <v>8132.5307565789471</v>
          </cell>
        </row>
        <row r="34">
          <cell r="Q34">
            <v>29151.625750924242</v>
          </cell>
        </row>
        <row r="39">
          <cell r="Q39">
            <v>6273</v>
          </cell>
        </row>
        <row r="44">
          <cell r="Q44">
            <v>3304.1739130434785</v>
          </cell>
        </row>
        <row r="49">
          <cell r="Q49">
            <v>5806</v>
          </cell>
        </row>
        <row r="54">
          <cell r="Q54">
            <v>4735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art1"/>
      <sheetName val="yearly ridership chart"/>
      <sheetName val="Ridership FY25 -"/>
      <sheetName val="January 2025 APC"/>
      <sheetName val="December 2024 APC"/>
      <sheetName val="November 2024 APC"/>
      <sheetName val="October 2024 APC"/>
      <sheetName val="September 2024 APC"/>
      <sheetName val="August 2024 APC"/>
      <sheetName val="July 2024 APC"/>
      <sheetName val="June 2025 APC"/>
      <sheetName val="May 2025 APC"/>
      <sheetName val="April 2025 APC"/>
      <sheetName val="March 2025 APC"/>
      <sheetName val="February 2025 APC"/>
      <sheetName val="month template 2024 APC"/>
      <sheetName val="NFRouteRidership_April2024"/>
    </sheetNames>
    <sheetDataSet>
      <sheetData sheetId="0"/>
      <sheetData sheetId="1" refreshError="1"/>
      <sheetData sheetId="2" refreshError="1"/>
      <sheetData sheetId="3"/>
      <sheetData sheetId="4">
        <row r="3">
          <cell r="Q3">
            <v>2400.5637254901962</v>
          </cell>
        </row>
        <row r="6">
          <cell r="Q6">
            <v>7841</v>
          </cell>
        </row>
        <row r="9">
          <cell r="Q9">
            <v>9659</v>
          </cell>
        </row>
        <row r="12">
          <cell r="Q12">
            <v>7738.7953216374272</v>
          </cell>
        </row>
        <row r="15">
          <cell r="Q15">
            <v>14092.90234375</v>
          </cell>
        </row>
        <row r="18">
          <cell r="Q18">
            <v>9109.2906432748532</v>
          </cell>
        </row>
        <row r="21">
          <cell r="Q21">
            <v>29630.35</v>
          </cell>
        </row>
        <row r="24">
          <cell r="Q24">
            <v>5724.833333333333</v>
          </cell>
        </row>
        <row r="27">
          <cell r="Q27">
            <v>3459.9826086956523</v>
          </cell>
        </row>
        <row r="30">
          <cell r="Q30">
            <v>5412</v>
          </cell>
        </row>
        <row r="33">
          <cell r="Q33">
            <v>3954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ssed run data"/>
      <sheetName val="Sheet1"/>
      <sheetName val="Chart Ridership FY23"/>
      <sheetName val="Chart1"/>
      <sheetName val="yearly ridership chart"/>
      <sheetName val="Ridership FY24 -"/>
      <sheetName val="June 2024 APC"/>
      <sheetName val="May 2024 APC"/>
      <sheetName val="April 2024 APC"/>
      <sheetName val="March 2024 APC"/>
      <sheetName val="February 2024 APC"/>
      <sheetName val="January 2024 APC"/>
      <sheetName val="December 2023 APC"/>
      <sheetName val="November 2023 APC"/>
      <sheetName val="October 2023 APC"/>
      <sheetName val="September 2023 APC"/>
      <sheetName val="August 2023 APC"/>
      <sheetName val="July 2023 APC"/>
      <sheetName val="month template 2024 APC"/>
      <sheetName val="NFRouteRidership_April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Q3">
            <v>2686</v>
          </cell>
        </row>
        <row r="6">
          <cell r="Q6">
            <v>7523</v>
          </cell>
        </row>
        <row r="9">
          <cell r="Q9">
            <v>11341</v>
          </cell>
        </row>
        <row r="12">
          <cell r="Q12">
            <v>7399</v>
          </cell>
        </row>
        <row r="15">
          <cell r="Q15">
            <v>18842.465909090912</v>
          </cell>
        </row>
        <row r="18">
          <cell r="Q18">
            <v>7623</v>
          </cell>
        </row>
        <row r="21">
          <cell r="Q21">
            <v>29257.017045454544</v>
          </cell>
        </row>
        <row r="24">
          <cell r="Q24">
            <v>7780</v>
          </cell>
        </row>
        <row r="27">
          <cell r="Q27">
            <v>4455</v>
          </cell>
        </row>
        <row r="30">
          <cell r="Q30">
            <v>6540</v>
          </cell>
        </row>
        <row r="33">
          <cell r="Q33">
            <v>6468</v>
          </cell>
        </row>
      </sheetData>
      <sheetData sheetId="8"/>
      <sheetData sheetId="9"/>
      <sheetData sheetId="10"/>
      <sheetData sheetId="11">
        <row r="3">
          <cell r="Q3">
            <v>2656</v>
          </cell>
        </row>
        <row r="6">
          <cell r="Q6">
            <v>6749.75</v>
          </cell>
        </row>
        <row r="9">
          <cell r="Q9">
            <v>9640</v>
          </cell>
        </row>
        <row r="12">
          <cell r="Q12">
            <v>7115.864864864865</v>
          </cell>
        </row>
        <row r="15">
          <cell r="Q15">
            <v>14244.875</v>
          </cell>
        </row>
        <row r="18">
          <cell r="Q18">
            <v>6463</v>
          </cell>
        </row>
        <row r="21">
          <cell r="Q21">
            <v>26497.10606060606</v>
          </cell>
        </row>
        <row r="24">
          <cell r="Q24">
            <v>6841</v>
          </cell>
        </row>
        <row r="27">
          <cell r="Q27">
            <v>3134.8837209302324</v>
          </cell>
        </row>
        <row r="30">
          <cell r="Q30">
            <v>5458</v>
          </cell>
        </row>
        <row r="33">
          <cell r="Q33">
            <v>5844</v>
          </cell>
        </row>
        <row r="36">
          <cell r="Q36">
            <v>11836.369763157894</v>
          </cell>
        </row>
      </sheetData>
      <sheetData sheetId="12">
        <row r="3">
          <cell r="Q3">
            <v>2660</v>
          </cell>
        </row>
        <row r="6">
          <cell r="Q6">
            <v>7130</v>
          </cell>
        </row>
        <row r="9">
          <cell r="Q9">
            <v>9455</v>
          </cell>
        </row>
        <row r="12">
          <cell r="Q12">
            <v>5601</v>
          </cell>
        </row>
        <row r="15">
          <cell r="Q15">
            <v>13859</v>
          </cell>
        </row>
        <row r="18">
          <cell r="Q18">
            <v>5570</v>
          </cell>
        </row>
        <row r="21">
          <cell r="Q21">
            <v>23225</v>
          </cell>
        </row>
        <row r="24">
          <cell r="Q24">
            <v>6685</v>
          </cell>
        </row>
        <row r="27">
          <cell r="Q27">
            <v>3050</v>
          </cell>
        </row>
        <row r="30">
          <cell r="Q30">
            <v>5275</v>
          </cell>
        </row>
        <row r="33">
          <cell r="Q33">
            <v>5550</v>
          </cell>
        </row>
        <row r="36">
          <cell r="Q36">
            <v>9861</v>
          </cell>
        </row>
      </sheetData>
      <sheetData sheetId="13">
        <row r="3">
          <cell r="Q3">
            <v>2549</v>
          </cell>
        </row>
        <row r="6">
          <cell r="Q6">
            <v>7271</v>
          </cell>
        </row>
        <row r="9">
          <cell r="Q9">
            <v>10227</v>
          </cell>
        </row>
        <row r="12">
          <cell r="Q12">
            <v>6578</v>
          </cell>
        </row>
        <row r="15">
          <cell r="Q15">
            <v>14315</v>
          </cell>
        </row>
        <row r="18">
          <cell r="Q18">
            <v>6029</v>
          </cell>
        </row>
        <row r="21">
          <cell r="Q21">
            <v>23935</v>
          </cell>
        </row>
        <row r="24">
          <cell r="Q24">
            <v>7218</v>
          </cell>
        </row>
        <row r="27">
          <cell r="Q27">
            <v>3384</v>
          </cell>
        </row>
        <row r="30">
          <cell r="Q30">
            <v>5543</v>
          </cell>
        </row>
        <row r="33">
          <cell r="Q33">
            <v>6088</v>
          </cell>
        </row>
        <row r="36">
          <cell r="Q36">
            <v>12744</v>
          </cell>
        </row>
      </sheetData>
      <sheetData sheetId="14">
        <row r="3">
          <cell r="Q3">
            <v>2945</v>
          </cell>
        </row>
        <row r="6">
          <cell r="Q6">
            <v>7554</v>
          </cell>
        </row>
        <row r="9">
          <cell r="Q9">
            <v>10579</v>
          </cell>
        </row>
        <row r="12">
          <cell r="Q12">
            <v>6938</v>
          </cell>
        </row>
        <row r="15">
          <cell r="Q15">
            <v>16084</v>
          </cell>
        </row>
        <row r="18">
          <cell r="Q18">
            <v>6147</v>
          </cell>
        </row>
        <row r="21">
          <cell r="Q21">
            <v>26787</v>
          </cell>
        </row>
        <row r="24">
          <cell r="Q24">
            <v>7765</v>
          </cell>
        </row>
        <row r="27">
          <cell r="Q27">
            <v>4658</v>
          </cell>
        </row>
        <row r="30">
          <cell r="Q30">
            <v>5682</v>
          </cell>
        </row>
        <row r="33">
          <cell r="Q33">
            <v>6291</v>
          </cell>
        </row>
        <row r="36">
          <cell r="Q36">
            <v>14544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art Ridership FY23"/>
      <sheetName val="Chart1"/>
      <sheetName val="yearly ridership chart"/>
      <sheetName val="Ridership FY24 -"/>
      <sheetName val="April 2024 APC"/>
      <sheetName val="March 2024 APC"/>
      <sheetName val="February 2024 APC"/>
      <sheetName val="January 2024 APC"/>
      <sheetName val="December 2023 APC"/>
      <sheetName val="October 2023 APC"/>
      <sheetName val="November 2023 APC"/>
      <sheetName val="September 2023 APC"/>
      <sheetName val="August 2023 APC"/>
      <sheetName val="July 2023 APC"/>
      <sheetName val="May 2024 APC"/>
      <sheetName val="June 2024 APC"/>
      <sheetName val="month template 2024 APC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Q3">
            <v>3273</v>
          </cell>
        </row>
        <row r="6">
          <cell r="Q6">
            <v>8044</v>
          </cell>
        </row>
        <row r="9">
          <cell r="Q9">
            <v>10687</v>
          </cell>
        </row>
        <row r="12">
          <cell r="Q12">
            <v>7114.0540540540542</v>
          </cell>
        </row>
        <row r="15">
          <cell r="Q15">
            <v>16160.833333333334</v>
          </cell>
        </row>
        <row r="18">
          <cell r="Q18">
            <v>6789</v>
          </cell>
        </row>
        <row r="21">
          <cell r="Q21">
            <v>27786.030303030304</v>
          </cell>
        </row>
        <row r="24">
          <cell r="Q24">
            <v>7663</v>
          </cell>
        </row>
        <row r="27">
          <cell r="Q27">
            <v>3646.6279069767443</v>
          </cell>
        </row>
        <row r="30">
          <cell r="Q30">
            <v>6087</v>
          </cell>
        </row>
        <row r="33">
          <cell r="Q33">
            <v>6312</v>
          </cell>
        </row>
        <row r="36">
          <cell r="Q36">
            <v>12743.644736842105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4"/>
  <sheetViews>
    <sheetView tabSelected="1" zoomScale="85" zoomScaleNormal="85" workbookViewId="0">
      <selection activeCell="V5" sqref="V5"/>
    </sheetView>
  </sheetViews>
  <sheetFormatPr defaultRowHeight="15" x14ac:dyDescent="0.25"/>
  <cols>
    <col min="2" max="2" width="13" customWidth="1"/>
    <col min="3" max="5" width="10.7109375" customWidth="1"/>
    <col min="6" max="6" width="13.7109375" customWidth="1"/>
    <col min="7" max="9" width="10.7109375" customWidth="1"/>
    <col min="10" max="10" width="13.7109375" customWidth="1"/>
    <col min="11" max="13" width="10.7109375" customWidth="1"/>
    <col min="14" max="14" width="13.7109375" customWidth="1"/>
    <col min="15" max="17" width="10.7109375" customWidth="1"/>
    <col min="18" max="18" width="13.7109375" customWidth="1"/>
    <col min="19" max="19" width="11.7109375" customWidth="1"/>
  </cols>
  <sheetData>
    <row r="1" spans="2:19" ht="25.5" customHeight="1" x14ac:dyDescent="0.5">
      <c r="B1" s="190" t="s">
        <v>37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2:19" s="78" customFormat="1" ht="25.5" customHeight="1" x14ac:dyDescent="0.5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2:19" s="78" customFormat="1" ht="13.5" customHeight="1" x14ac:dyDescent="0.5">
      <c r="S3" s="175"/>
    </row>
    <row r="4" spans="2:19" s="78" customFormat="1" ht="25.5" customHeight="1" x14ac:dyDescent="0.4">
      <c r="B4" s="180" t="s">
        <v>35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</row>
    <row r="5" spans="2:19" s="78" customFormat="1" ht="25.5" customHeight="1" x14ac:dyDescent="0.25">
      <c r="B5" s="79" t="s">
        <v>36</v>
      </c>
      <c r="C5" s="80">
        <v>45474</v>
      </c>
      <c r="D5" s="80">
        <v>45505</v>
      </c>
      <c r="E5" s="80">
        <v>45536</v>
      </c>
      <c r="F5" s="185" t="s">
        <v>18</v>
      </c>
      <c r="G5" s="80">
        <v>45595</v>
      </c>
      <c r="H5" s="80">
        <v>45619</v>
      </c>
      <c r="I5" s="80">
        <v>45649</v>
      </c>
      <c r="J5" s="185" t="s">
        <v>19</v>
      </c>
      <c r="K5" s="80">
        <v>45681</v>
      </c>
      <c r="L5" s="80">
        <v>45712</v>
      </c>
      <c r="M5" s="80">
        <v>45740</v>
      </c>
      <c r="N5" s="185" t="s">
        <v>24</v>
      </c>
      <c r="O5" s="80">
        <v>45771</v>
      </c>
      <c r="P5" s="80">
        <v>45801</v>
      </c>
      <c r="Q5" s="80">
        <v>45832</v>
      </c>
      <c r="R5" s="185" t="s">
        <v>26</v>
      </c>
      <c r="S5" s="128"/>
    </row>
    <row r="6" spans="2:19" s="78" customFormat="1" ht="25.5" customHeight="1" x14ac:dyDescent="0.25">
      <c r="B6" s="82" t="s">
        <v>1</v>
      </c>
      <c r="C6" s="83">
        <f>'[1]July 2024 APC'!$Q$36</f>
        <v>10326.894736842105</v>
      </c>
      <c r="D6" s="83">
        <v>11773</v>
      </c>
      <c r="E6" s="83">
        <f>'[2]September 2024 APC'!$Q$36</f>
        <v>12910.197368421053</v>
      </c>
      <c r="F6" s="186"/>
      <c r="G6" s="83">
        <v>15206</v>
      </c>
      <c r="H6" s="83">
        <v>13677</v>
      </c>
      <c r="I6" s="83">
        <v>9916</v>
      </c>
      <c r="J6" s="186"/>
      <c r="K6" s="83">
        <v>13700</v>
      </c>
      <c r="L6" s="119">
        <v>13266</v>
      </c>
      <c r="M6" s="83">
        <f>'[3]March 2025 APC'!$Q$36</f>
        <v>13251.18903508772</v>
      </c>
      <c r="N6" s="186"/>
      <c r="O6" s="92">
        <v>15587</v>
      </c>
      <c r="P6" s="115"/>
      <c r="Q6" s="92"/>
      <c r="R6" s="186"/>
      <c r="S6" s="126">
        <f t="shared" ref="S6:S20" si="0">SUM(C6:Q6)</f>
        <v>129613.28114035088</v>
      </c>
    </row>
    <row r="7" spans="2:19" s="78" customFormat="1" ht="25.5" customHeight="1" x14ac:dyDescent="0.25">
      <c r="B7" s="84" t="s">
        <v>2</v>
      </c>
      <c r="C7" s="149">
        <f>'[1]July 2024 APC'!$Q$3</f>
        <v>2523</v>
      </c>
      <c r="D7" s="112">
        <f>'[4]August 2024 APC'!$Q$3</f>
        <v>2783</v>
      </c>
      <c r="E7" s="149">
        <f>'[2]September 2024 APC'!$Q$3</f>
        <v>3303</v>
      </c>
      <c r="F7" s="186"/>
      <c r="G7" s="165">
        <f>'[5]October 2024 APC'!$Q$3</f>
        <v>3417</v>
      </c>
      <c r="H7" s="150">
        <f>'[6]November 2024 APC'!$Q$4</f>
        <v>3586</v>
      </c>
      <c r="I7" s="150">
        <f>'[6]December 2024 APC'!$Q$3</f>
        <v>2487</v>
      </c>
      <c r="J7" s="186"/>
      <c r="K7" s="157">
        <f>'[7]January 2025 APC'!$Q$3</f>
        <v>2400.5637254901962</v>
      </c>
      <c r="L7" s="157">
        <f>'[3]February 2025 APC '!$Q$3</f>
        <v>2723</v>
      </c>
      <c r="M7" s="157">
        <f>'[3]March 2025 APC'!$Q$3</f>
        <v>2867.0901960784313</v>
      </c>
      <c r="N7" s="186"/>
      <c r="O7" s="154">
        <v>2842</v>
      </c>
      <c r="P7" s="154"/>
      <c r="Q7" s="154"/>
      <c r="R7" s="186"/>
      <c r="S7" s="126">
        <f t="shared" si="0"/>
        <v>28931.653921568628</v>
      </c>
    </row>
    <row r="8" spans="2:19" s="78" customFormat="1" ht="25.5" customHeight="1" x14ac:dyDescent="0.25">
      <c r="B8" s="84" t="s">
        <v>3</v>
      </c>
      <c r="C8" s="149">
        <f>'[1]July 2024 APC'!$Q$6</f>
        <v>8870</v>
      </c>
      <c r="D8" s="112">
        <f>'[4]August 2024 APC'!$Q$6</f>
        <v>8816</v>
      </c>
      <c r="E8" s="149">
        <f>'[2]September 2024 APC'!$Q$6</f>
        <v>7302</v>
      </c>
      <c r="F8" s="186"/>
      <c r="G8" s="165">
        <f>'[5]October 2024 APC'!$Q$6</f>
        <v>9178</v>
      </c>
      <c r="H8" s="150">
        <f>'[6]November 2024 APC'!$Q$9</f>
        <v>7392</v>
      </c>
      <c r="I8" s="150">
        <f>'[6]December 2024 APC'!$Q$6</f>
        <v>6823</v>
      </c>
      <c r="J8" s="186"/>
      <c r="K8" s="157">
        <f>'[7]January 2025 APC'!$Q$6</f>
        <v>7841</v>
      </c>
      <c r="L8" s="157">
        <f>'[3]February 2025 APC '!$Q$6</f>
        <v>6787.5625</v>
      </c>
      <c r="M8" s="157">
        <f>'[3]March 2025 APC'!$Q$6</f>
        <v>7830</v>
      </c>
      <c r="N8" s="186"/>
      <c r="O8" s="154">
        <v>8501</v>
      </c>
      <c r="P8" s="154"/>
      <c r="Q8" s="154"/>
      <c r="R8" s="186"/>
      <c r="S8" s="126">
        <f t="shared" si="0"/>
        <v>79340.5625</v>
      </c>
    </row>
    <row r="9" spans="2:19" s="78" customFormat="1" ht="25.5" customHeight="1" x14ac:dyDescent="0.25">
      <c r="B9" s="84" t="s">
        <v>4</v>
      </c>
      <c r="C9" s="149">
        <f>'[1]July 2024 APC'!$Q$9</f>
        <v>11740</v>
      </c>
      <c r="D9" s="112">
        <f>'[4]August 2024 APC'!$Q$9</f>
        <v>11677</v>
      </c>
      <c r="E9" s="149">
        <f>'[2]September 2024 APC'!$Q$9</f>
        <v>9862</v>
      </c>
      <c r="F9" s="186"/>
      <c r="G9" s="165">
        <f>'[5]October 2024 APC'!$Q$9</f>
        <v>10920</v>
      </c>
      <c r="H9" s="150">
        <f>'[6]November 2024 APC'!$Q$14</f>
        <v>9288</v>
      </c>
      <c r="I9" s="150">
        <f>'[6]December 2024 APC'!$Q$9</f>
        <v>8009</v>
      </c>
      <c r="J9" s="186"/>
      <c r="K9" s="157">
        <f>'[7]January 2025 APC'!$Q$9</f>
        <v>9659</v>
      </c>
      <c r="L9" s="157">
        <f>'[3]February 2025 APC '!$Q$9</f>
        <v>7956</v>
      </c>
      <c r="M9" s="157">
        <f>'[3]March 2025 APC'!$Q$9</f>
        <v>9905</v>
      </c>
      <c r="N9" s="186"/>
      <c r="O9" s="154">
        <v>11404</v>
      </c>
      <c r="P9" s="154"/>
      <c r="Q9" s="154"/>
      <c r="R9" s="186"/>
      <c r="S9" s="126">
        <f t="shared" si="0"/>
        <v>100420</v>
      </c>
    </row>
    <row r="10" spans="2:19" s="78" customFormat="1" ht="25.5" customHeight="1" x14ac:dyDescent="0.25">
      <c r="B10" s="84" t="s">
        <v>5</v>
      </c>
      <c r="C10" s="149">
        <f>'[1]July 2024 APC'!$Q$12</f>
        <v>8089.9729729729734</v>
      </c>
      <c r="D10" s="112">
        <f>'[4]August 2024 APC'!$Q$12</f>
        <v>7864.7567567567567</v>
      </c>
      <c r="E10" s="149">
        <f>'[2]September 2024 APC'!$Q$12</f>
        <v>7166.0630630630631</v>
      </c>
      <c r="F10" s="186"/>
      <c r="G10" s="165">
        <f>'[5]October 2024 APC'!$Q$12</f>
        <v>7902.3690729729733</v>
      </c>
      <c r="H10" s="150">
        <f>'[6]November 2024 APC'!$Q$19</f>
        <v>6941.439465781571</v>
      </c>
      <c r="I10" s="150">
        <f>'[6]December 2024 APC'!$Q$12</f>
        <v>6320.9444444444443</v>
      </c>
      <c r="J10" s="186"/>
      <c r="K10" s="157">
        <f>'[7]January 2025 APC'!$Q$12</f>
        <v>7738.7953216374272</v>
      </c>
      <c r="L10" s="157">
        <f>'[3]February 2025 APC '!$Q$12</f>
        <v>7270.6842105263158</v>
      </c>
      <c r="M10" s="157">
        <f>'[3]March 2025 APC'!$Q$12</f>
        <v>7930</v>
      </c>
      <c r="N10" s="186"/>
      <c r="O10" s="154">
        <v>7979</v>
      </c>
      <c r="P10" s="154"/>
      <c r="Q10" s="154"/>
      <c r="R10" s="186"/>
      <c r="S10" s="126">
        <f t="shared" si="0"/>
        <v>75204.025308155527</v>
      </c>
    </row>
    <row r="11" spans="2:19" s="78" customFormat="1" ht="25.5" customHeight="1" x14ac:dyDescent="0.25">
      <c r="B11" s="84" t="s">
        <v>6</v>
      </c>
      <c r="C11" s="149">
        <f>'[1]July 2024 APC'!$Q$15</f>
        <v>17095.060606060608</v>
      </c>
      <c r="D11" s="112">
        <f>'[4]August 2024 APC'!$Q$15</f>
        <v>18438.409090909092</v>
      </c>
      <c r="E11" s="149">
        <f>'[2]September 2024 APC'!$Q$15</f>
        <v>17153.454545454544</v>
      </c>
      <c r="F11" s="186"/>
      <c r="G11" s="165">
        <f>'[5]October 2024 APC'!$Q$15</f>
        <v>18933.727272727272</v>
      </c>
      <c r="H11" s="150">
        <f>'[6]November 2024 APC'!$Q$24</f>
        <v>16598.114133522729</v>
      </c>
      <c r="I11" s="150">
        <f>'[6]December 2024 APC'!$Q$15</f>
        <v>14121.5859375</v>
      </c>
      <c r="J11" s="186"/>
      <c r="K11" s="157">
        <f>'[7]January 2025 APC'!$Q$15</f>
        <v>14092.90234375</v>
      </c>
      <c r="L11" s="157">
        <f>'[3]February 2025 APC '!$Q$15</f>
        <v>13107.144921875</v>
      </c>
      <c r="M11" s="157">
        <f>'[3]March 2025 APC'!$Q$15</f>
        <v>15511.569921875</v>
      </c>
      <c r="N11" s="186"/>
      <c r="O11" s="154">
        <v>16776</v>
      </c>
      <c r="P11" s="154"/>
      <c r="Q11" s="154"/>
      <c r="R11" s="186"/>
      <c r="S11" s="126">
        <f t="shared" si="0"/>
        <v>161827.96877367425</v>
      </c>
    </row>
    <row r="12" spans="2:19" s="78" customFormat="1" ht="25.5" customHeight="1" x14ac:dyDescent="0.25">
      <c r="B12" s="84" t="s">
        <v>7</v>
      </c>
      <c r="C12" s="149">
        <f>'[1]July 2024 APC'!$Q$18</f>
        <v>8158</v>
      </c>
      <c r="D12" s="112">
        <f>'[4]August 2024 APC'!$Q$18</f>
        <v>8621</v>
      </c>
      <c r="E12" s="149">
        <f>'[2]September 2024 APC'!$Q$18</f>
        <v>7421.083333333333</v>
      </c>
      <c r="F12" s="186"/>
      <c r="G12" s="165">
        <f>'[5]October 2024 APC'!$Q$18</f>
        <v>8653</v>
      </c>
      <c r="H12" s="150">
        <f>'[6]November 2024 APC'!$Q$29</f>
        <v>8132.5307565789471</v>
      </c>
      <c r="I12" s="150">
        <f>'[6]December 2024 APC'!$Q$18</f>
        <v>8438</v>
      </c>
      <c r="J12" s="186"/>
      <c r="K12" s="157">
        <f>'[7]January 2025 APC'!$Q$18</f>
        <v>9109.2906432748532</v>
      </c>
      <c r="L12" s="157">
        <f>'[3]February 2025 APC '!$Q$18</f>
        <v>8448.646198830409</v>
      </c>
      <c r="M12" s="157">
        <f>'[3]March 2025 APC'!$Q$18</f>
        <v>9282.7982456140344</v>
      </c>
      <c r="N12" s="186"/>
      <c r="O12" s="154">
        <v>8906</v>
      </c>
      <c r="P12" s="154"/>
      <c r="Q12" s="154"/>
      <c r="R12" s="186"/>
      <c r="S12" s="126">
        <f t="shared" si="0"/>
        <v>85170.349177631564</v>
      </c>
    </row>
    <row r="13" spans="2:19" s="78" customFormat="1" ht="25.5" customHeight="1" x14ac:dyDescent="0.25">
      <c r="B13" s="84" t="s">
        <v>8</v>
      </c>
      <c r="C13" s="149">
        <f>'[1]July 2024 APC'!$Q$21</f>
        <v>26743.363636363636</v>
      </c>
      <c r="D13" s="112">
        <f>'[4]August 2024 APC'!$Q$21</f>
        <v>22078.054292929297</v>
      </c>
      <c r="E13" s="149">
        <f>'[2]September 2024 APC'!$Q$21</f>
        <v>33989.977272727272</v>
      </c>
      <c r="F13" s="186"/>
      <c r="G13" s="165">
        <f>'[5]October 2024 APC'!$Q$21</f>
        <v>34211.625</v>
      </c>
      <c r="H13" s="150">
        <f>'[6]November 2024 APC'!$Q$34</f>
        <v>29151.625750924242</v>
      </c>
      <c r="I13" s="150">
        <f>'[6]December 2024 APC'!$Q$21</f>
        <v>26324.851515151517</v>
      </c>
      <c r="J13" s="186"/>
      <c r="K13" s="157">
        <f>'[7]January 2025 APC'!$Q$21</f>
        <v>29630.35</v>
      </c>
      <c r="L13" s="157">
        <f>'[3]February 2025 APC '!$Q$21</f>
        <v>26494.436363636363</v>
      </c>
      <c r="M13" s="157">
        <f>'[3]March 2025 APC'!$Q$21</f>
        <v>28439.620202020204</v>
      </c>
      <c r="N13" s="186"/>
      <c r="O13" s="154">
        <v>29955</v>
      </c>
      <c r="P13" s="154"/>
      <c r="Q13" s="154"/>
      <c r="R13" s="186"/>
      <c r="S13" s="126">
        <f t="shared" si="0"/>
        <v>287018.90403375257</v>
      </c>
    </row>
    <row r="14" spans="2:19" s="78" customFormat="1" ht="25.5" customHeight="1" x14ac:dyDescent="0.25">
      <c r="B14" s="84" t="s">
        <v>9</v>
      </c>
      <c r="C14" s="149">
        <f>'[1]July 2024 APC'!$Q$24</f>
        <v>8044</v>
      </c>
      <c r="D14" s="112">
        <f>'[4]August 2024 APC'!$Q$24</f>
        <v>7935</v>
      </c>
      <c r="E14" s="149">
        <f>'[2]September 2024 APC'!$Q$24</f>
        <v>6912</v>
      </c>
      <c r="F14" s="186"/>
      <c r="G14" s="165">
        <f>'[5]October 2024 APC'!$Q$24</f>
        <v>7993</v>
      </c>
      <c r="H14" s="150">
        <f>'[6]November 2024 APC'!$Q$39</f>
        <v>6273</v>
      </c>
      <c r="I14" s="150">
        <f>'[6]December 2024 APC'!$Q$24</f>
        <v>6411</v>
      </c>
      <c r="J14" s="186"/>
      <c r="K14" s="157">
        <f>'[7]January 2025 APC'!$Q$24</f>
        <v>5724.833333333333</v>
      </c>
      <c r="L14" s="157">
        <f>'[3]February 2025 APC '!$Q$24</f>
        <v>4958.5</v>
      </c>
      <c r="M14" s="157">
        <f>'[3]March 2025 APC'!$Q$24</f>
        <v>6468</v>
      </c>
      <c r="N14" s="186"/>
      <c r="O14" s="154">
        <v>6697</v>
      </c>
      <c r="P14" s="154"/>
      <c r="Q14" s="154"/>
      <c r="R14" s="186"/>
      <c r="S14" s="126">
        <f t="shared" si="0"/>
        <v>67416.333333333343</v>
      </c>
    </row>
    <row r="15" spans="2:19" s="78" customFormat="1" ht="25.5" customHeight="1" x14ac:dyDescent="0.25">
      <c r="B15" s="84" t="s">
        <v>10</v>
      </c>
      <c r="C15" s="149">
        <f>'[1]July 2024 APC'!$Q$27</f>
        <v>2692.2678169542382</v>
      </c>
      <c r="D15" s="112">
        <f>'[4]August 2024 APC'!$Q$27</f>
        <v>3245.2093023255816</v>
      </c>
      <c r="E15" s="149">
        <f>'[2]September 2024 APC'!$Q$27</f>
        <v>3383.2093023255816</v>
      </c>
      <c r="F15" s="186"/>
      <c r="G15" s="165">
        <f>'[5]October 2024 APC'!$Q$27</f>
        <v>3520</v>
      </c>
      <c r="H15" s="150">
        <f>'[6]November 2024 APC'!$Q$44</f>
        <v>3304.1739130434785</v>
      </c>
      <c r="I15" s="150">
        <f>'[6]December 2024 APC'!$Q$27</f>
        <v>3051</v>
      </c>
      <c r="J15" s="186"/>
      <c r="K15" s="157">
        <f>'[7]January 2025 APC'!$Q$27</f>
        <v>3459.9826086956523</v>
      </c>
      <c r="L15" s="157">
        <f>'[3]February 2025 APC '!$Q$27</f>
        <v>3139.5956521739131</v>
      </c>
      <c r="M15" s="157">
        <f>'[3]March 2025 APC'!$Q$27</f>
        <v>3829</v>
      </c>
      <c r="N15" s="186"/>
      <c r="O15" s="154">
        <v>4236</v>
      </c>
      <c r="P15" s="154"/>
      <c r="Q15" s="154"/>
      <c r="R15" s="186"/>
      <c r="S15" s="126">
        <f t="shared" si="0"/>
        <v>33860.438595518448</v>
      </c>
    </row>
    <row r="16" spans="2:19" s="78" customFormat="1" ht="25.5" customHeight="1" x14ac:dyDescent="0.25">
      <c r="B16" s="84" t="s">
        <v>11</v>
      </c>
      <c r="C16" s="149">
        <f>'[1]July 2024 APC'!$Q$30</f>
        <v>6992</v>
      </c>
      <c r="D16" s="112">
        <f>'[4]August 2024 APC'!$Q$30</f>
        <v>7531</v>
      </c>
      <c r="E16" s="149">
        <f>'[2]September 2024 APC'!$Q$30</f>
        <v>6499</v>
      </c>
      <c r="F16" s="186"/>
      <c r="G16" s="165">
        <f>'[5]October 2024 APC'!$Q$30</f>
        <v>6942</v>
      </c>
      <c r="H16" s="150">
        <f>'[6]November 2024 APC'!$Q$49</f>
        <v>5806</v>
      </c>
      <c r="I16" s="150">
        <f>'[6]December 2024 APC'!$Q$30</f>
        <v>5500</v>
      </c>
      <c r="J16" s="186"/>
      <c r="K16" s="157">
        <f>'[7]January 2025 APC'!$Q$30</f>
        <v>5412</v>
      </c>
      <c r="L16" s="157">
        <f>'[3]February 2025 APC '!$Q$30</f>
        <v>5389.666666666667</v>
      </c>
      <c r="M16" s="157">
        <f>'[3]March 2025 APC'!$Q$30</f>
        <v>5900</v>
      </c>
      <c r="N16" s="186"/>
      <c r="O16" s="154">
        <v>5999</v>
      </c>
      <c r="P16" s="154"/>
      <c r="Q16" s="154"/>
      <c r="R16" s="186"/>
      <c r="S16" s="126">
        <f t="shared" si="0"/>
        <v>61970.666666666664</v>
      </c>
    </row>
    <row r="17" spans="2:19" s="78" customFormat="1" ht="25.5" customHeight="1" x14ac:dyDescent="0.25">
      <c r="B17" s="84" t="s">
        <v>12</v>
      </c>
      <c r="C17" s="149">
        <f>'[1]July 2024 APC'!$Q$33</f>
        <v>6364</v>
      </c>
      <c r="D17" s="112">
        <f>'[4]August 2024 APC'!$Q$33</f>
        <v>6219</v>
      </c>
      <c r="E17" s="149">
        <f>'[2]September 2024 APC'!$Q$33</f>
        <v>6123</v>
      </c>
      <c r="F17" s="186"/>
      <c r="G17" s="165">
        <f>'[5]October 2024 APC'!$Q$33</f>
        <v>6433</v>
      </c>
      <c r="H17" s="150">
        <f>'[6]November 2024 APC'!$Q$54</f>
        <v>4735</v>
      </c>
      <c r="I17" s="150">
        <f>'[6]December 2024 APC'!$Q$33</f>
        <v>3815</v>
      </c>
      <c r="J17" s="186"/>
      <c r="K17" s="157">
        <f>'[7]January 2025 APC'!$Q$33</f>
        <v>3954</v>
      </c>
      <c r="L17" s="157">
        <f>'[3]February 2025 APC '!$Q$33</f>
        <v>3349.3030303030305</v>
      </c>
      <c r="M17" s="157">
        <f>'[3]March 2025 APC'!$Q$33</f>
        <v>3818</v>
      </c>
      <c r="N17" s="186"/>
      <c r="O17" s="154">
        <v>4326</v>
      </c>
      <c r="P17" s="154"/>
      <c r="Q17" s="154"/>
      <c r="R17" s="186"/>
      <c r="S17" s="126">
        <f t="shared" si="0"/>
        <v>49136.303030303032</v>
      </c>
    </row>
    <row r="18" spans="2:19" s="78" customFormat="1" ht="25.5" customHeight="1" x14ac:dyDescent="0.25">
      <c r="B18" s="84" t="s">
        <v>13</v>
      </c>
      <c r="C18" s="120"/>
      <c r="D18" s="121"/>
      <c r="E18" s="133"/>
      <c r="F18" s="186"/>
      <c r="G18" s="122"/>
      <c r="H18" s="143"/>
      <c r="I18" s="123"/>
      <c r="J18" s="186"/>
      <c r="K18" s="124"/>
      <c r="L18" s="120"/>
      <c r="M18" s="120"/>
      <c r="N18" s="186"/>
      <c r="O18" s="89"/>
      <c r="P18" s="120"/>
      <c r="Q18" s="120"/>
      <c r="R18" s="186"/>
      <c r="S18" s="126">
        <f t="shared" si="0"/>
        <v>0</v>
      </c>
    </row>
    <row r="19" spans="2:19" s="78" customFormat="1" ht="25.5" customHeight="1" x14ac:dyDescent="0.25">
      <c r="B19" s="84" t="s">
        <v>14</v>
      </c>
      <c r="C19" s="120"/>
      <c r="D19" s="120">
        <v>1</v>
      </c>
      <c r="E19" s="120"/>
      <c r="F19" s="186"/>
      <c r="G19" s="122"/>
      <c r="H19" s="86"/>
      <c r="I19" s="123"/>
      <c r="J19" s="186"/>
      <c r="K19" s="124"/>
      <c r="L19" s="125"/>
      <c r="M19" s="120"/>
      <c r="N19" s="186"/>
      <c r="O19" s="123"/>
      <c r="P19" s="120"/>
      <c r="Q19" s="120"/>
      <c r="R19" s="186"/>
      <c r="S19" s="126"/>
    </row>
    <row r="20" spans="2:19" s="78" customFormat="1" ht="25.5" customHeight="1" x14ac:dyDescent="0.25">
      <c r="B20" s="98" t="s">
        <v>15</v>
      </c>
      <c r="C20" s="130">
        <f t="shared" ref="C20" si="1">SUM(C6:C19)</f>
        <v>117638.55976919355</v>
      </c>
      <c r="D20" s="130">
        <f>SUM(D6:D19)</f>
        <v>116982.42944292074</v>
      </c>
      <c r="E20" s="130">
        <f>SUM(E6:E19)</f>
        <v>122024.98488532485</v>
      </c>
      <c r="F20" s="187"/>
      <c r="G20" s="130">
        <f t="shared" ref="G20:M20" si="2">SUM(G6:G19)</f>
        <v>133309.72134570024</v>
      </c>
      <c r="H20" s="130">
        <f t="shared" si="2"/>
        <v>114884.88401985096</v>
      </c>
      <c r="I20" s="130">
        <f t="shared" si="2"/>
        <v>101217.38189709597</v>
      </c>
      <c r="J20" s="187"/>
      <c r="K20" s="130">
        <f t="shared" si="2"/>
        <v>112722.71797618145</v>
      </c>
      <c r="L20" s="130">
        <f t="shared" si="2"/>
        <v>102890.5395440117</v>
      </c>
      <c r="M20" s="130">
        <f t="shared" si="2"/>
        <v>115032.26760067539</v>
      </c>
      <c r="N20" s="187"/>
      <c r="O20" s="130">
        <f t="shared" ref="O20:Q20" si="3">SUM(O6:O19)</f>
        <v>123208</v>
      </c>
      <c r="P20" s="130">
        <f t="shared" si="3"/>
        <v>0</v>
      </c>
      <c r="Q20" s="130">
        <f t="shared" si="3"/>
        <v>0</v>
      </c>
      <c r="R20" s="187"/>
      <c r="S20" s="131">
        <f t="shared" si="0"/>
        <v>1159911.4864809548</v>
      </c>
    </row>
    <row r="21" spans="2:19" s="78" customFormat="1" ht="25.5" customHeight="1" x14ac:dyDescent="0.25">
      <c r="D21" s="176" t="s">
        <v>25</v>
      </c>
      <c r="E21" s="176"/>
      <c r="F21" s="101">
        <f>SUM(C20:E20)</f>
        <v>356645.97409743915</v>
      </c>
      <c r="G21" s="177" t="s">
        <v>20</v>
      </c>
      <c r="H21" s="177"/>
      <c r="I21" s="177"/>
      <c r="J21" s="103">
        <f>SUM(G20:I20)</f>
        <v>349411.98726264713</v>
      </c>
      <c r="K21" s="178" t="s">
        <v>27</v>
      </c>
      <c r="L21" s="178"/>
      <c r="M21" s="178"/>
      <c r="N21" s="93">
        <f>SUM(K20:M20)</f>
        <v>330645.52512086852</v>
      </c>
      <c r="O21" s="179" t="s">
        <v>28</v>
      </c>
      <c r="P21" s="179"/>
      <c r="Q21" s="179"/>
      <c r="R21" s="104">
        <f>SUM(O20:Q20)</f>
        <v>123208</v>
      </c>
    </row>
    <row r="22" spans="2:19" s="78" customFormat="1" ht="25.5" customHeight="1" x14ac:dyDescent="0.5"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</row>
    <row r="23" spans="2:19" s="78" customFormat="1" ht="25.5" customHeight="1" x14ac:dyDescent="0.4">
      <c r="B23" s="180" t="s">
        <v>33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</row>
    <row r="24" spans="2:19" s="78" customFormat="1" ht="25.5" customHeight="1" x14ac:dyDescent="0.25">
      <c r="B24" s="79" t="s">
        <v>33</v>
      </c>
      <c r="C24" s="80">
        <v>45108</v>
      </c>
      <c r="D24" s="80">
        <v>45139</v>
      </c>
      <c r="E24" s="80">
        <v>45170</v>
      </c>
      <c r="F24" s="185" t="s">
        <v>18</v>
      </c>
      <c r="G24" s="80">
        <v>45229</v>
      </c>
      <c r="H24" s="80">
        <v>45253</v>
      </c>
      <c r="I24" s="80">
        <v>45283</v>
      </c>
      <c r="J24" s="185" t="s">
        <v>19</v>
      </c>
      <c r="K24" s="80">
        <v>45315</v>
      </c>
      <c r="L24" s="80">
        <v>45346</v>
      </c>
      <c r="M24" s="80">
        <v>45375</v>
      </c>
      <c r="N24" s="185" t="s">
        <v>24</v>
      </c>
      <c r="O24" s="80">
        <v>45406</v>
      </c>
      <c r="P24" s="80">
        <v>45436</v>
      </c>
      <c r="Q24" s="80">
        <v>45467</v>
      </c>
      <c r="R24" s="185" t="s">
        <v>26</v>
      </c>
      <c r="S24" s="128"/>
    </row>
    <row r="25" spans="2:19" s="78" customFormat="1" ht="25.5" customHeight="1" x14ac:dyDescent="0.25">
      <c r="B25" s="82" t="s">
        <v>1</v>
      </c>
      <c r="C25" s="83">
        <v>7117</v>
      </c>
      <c r="D25" s="83">
        <v>11121</v>
      </c>
      <c r="E25" s="83">
        <v>15356</v>
      </c>
      <c r="F25" s="186"/>
      <c r="G25" s="83">
        <f>'[8]October 2023 APC'!$Q$36</f>
        <v>14544</v>
      </c>
      <c r="H25" s="83">
        <f>'[8]November 2023 APC'!$Q$36</f>
        <v>12744</v>
      </c>
      <c r="I25" s="83">
        <f>'[8]December 2023 APC'!$Q$36</f>
        <v>9861</v>
      </c>
      <c r="J25" s="186"/>
      <c r="K25" s="83">
        <f>'[8]January 2024 APC'!$Q$36</f>
        <v>11836.369763157894</v>
      </c>
      <c r="L25" s="119">
        <v>13287</v>
      </c>
      <c r="M25" s="83">
        <f>'[9]March 2024 APC'!$Q$36</f>
        <v>12743.644736842105</v>
      </c>
      <c r="N25" s="186"/>
      <c r="O25" s="92">
        <v>14691</v>
      </c>
      <c r="P25" s="115">
        <v>12590</v>
      </c>
      <c r="Q25" s="92">
        <v>10913</v>
      </c>
      <c r="R25" s="186"/>
      <c r="S25" s="129"/>
    </row>
    <row r="26" spans="2:19" s="78" customFormat="1" ht="25.5" customHeight="1" x14ac:dyDescent="0.25">
      <c r="B26" s="84" t="s">
        <v>2</v>
      </c>
      <c r="C26" s="149">
        <v>2355</v>
      </c>
      <c r="D26" s="149">
        <v>2871</v>
      </c>
      <c r="E26" s="149">
        <v>2746</v>
      </c>
      <c r="F26" s="186"/>
      <c r="G26" s="150">
        <f>'[8]October 2023 APC'!$Q$3</f>
        <v>2945</v>
      </c>
      <c r="H26" s="150">
        <f>'[8]November 2023 APC'!$Q$3</f>
        <v>2549</v>
      </c>
      <c r="I26" s="150">
        <f>'[8]December 2023 APC'!$Q$3</f>
        <v>2660</v>
      </c>
      <c r="J26" s="186"/>
      <c r="K26" s="157">
        <f>'[8]January 2024 APC'!$Q$3</f>
        <v>2656</v>
      </c>
      <c r="L26" s="157">
        <f>'[10]February 2024 APC'!$Q$3</f>
        <v>2967</v>
      </c>
      <c r="M26" s="157">
        <f>'[9]March 2024 APC'!$Q$3</f>
        <v>3273</v>
      </c>
      <c r="N26" s="186"/>
      <c r="O26" s="154">
        <f>'[11]April 2024 APC'!$Q$3</f>
        <v>2765</v>
      </c>
      <c r="P26" s="154">
        <f>'[8]May 2024 APC'!$Q$3</f>
        <v>2686</v>
      </c>
      <c r="Q26" s="154">
        <f>'[12]June 2024 APC'!$Q$3</f>
        <v>2282</v>
      </c>
      <c r="R26" s="186"/>
      <c r="S26" s="126">
        <f t="shared" ref="S26:S39" si="4">SUM(C26:Q26)</f>
        <v>32755</v>
      </c>
    </row>
    <row r="27" spans="2:19" s="78" customFormat="1" ht="25.5" customHeight="1" x14ac:dyDescent="0.25">
      <c r="B27" s="84" t="s">
        <v>3</v>
      </c>
      <c r="C27" s="149">
        <v>6417</v>
      </c>
      <c r="D27" s="149">
        <v>7465</v>
      </c>
      <c r="E27" s="149">
        <v>7522</v>
      </c>
      <c r="F27" s="186"/>
      <c r="G27" s="150">
        <f>'[8]October 2023 APC'!$Q$6</f>
        <v>7554</v>
      </c>
      <c r="H27" s="150">
        <f>'[8]November 2023 APC'!$Q$6</f>
        <v>7271</v>
      </c>
      <c r="I27" s="150">
        <f>'[8]December 2023 APC'!$Q$6</f>
        <v>7130</v>
      </c>
      <c r="J27" s="186"/>
      <c r="K27" s="157">
        <f>'[8]January 2024 APC'!$Q$6</f>
        <v>6749.75</v>
      </c>
      <c r="L27" s="157">
        <f>'[10]February 2024 APC'!$Q$6</f>
        <v>7531</v>
      </c>
      <c r="M27" s="157">
        <f>'[9]March 2024 APC'!$Q$6</f>
        <v>8044</v>
      </c>
      <c r="N27" s="186"/>
      <c r="O27" s="154">
        <f>'[11]April 2024 APC'!$Q$6</f>
        <v>8606</v>
      </c>
      <c r="P27" s="154">
        <f>'[8]May 2024 APC'!$Q$6</f>
        <v>7523</v>
      </c>
      <c r="Q27" s="154">
        <f>'[12]June 2024 APC'!$Q$6</f>
        <v>8021.71875</v>
      </c>
      <c r="R27" s="186"/>
      <c r="S27" s="126">
        <f t="shared" si="4"/>
        <v>89834.46875</v>
      </c>
    </row>
    <row r="28" spans="2:19" s="78" customFormat="1" ht="25.5" customHeight="1" x14ac:dyDescent="0.25">
      <c r="B28" s="84" t="s">
        <v>4</v>
      </c>
      <c r="C28" s="149">
        <v>10178</v>
      </c>
      <c r="D28" s="149">
        <v>10909</v>
      </c>
      <c r="E28" s="149">
        <v>10659</v>
      </c>
      <c r="F28" s="186"/>
      <c r="G28" s="150">
        <f>'[8]October 2023 APC'!$Q$9</f>
        <v>10579</v>
      </c>
      <c r="H28" s="150">
        <f>'[8]November 2023 APC'!$Q$9</f>
        <v>10227</v>
      </c>
      <c r="I28" s="150">
        <f>'[8]December 2023 APC'!$Q$9</f>
        <v>9455</v>
      </c>
      <c r="J28" s="186"/>
      <c r="K28" s="157">
        <f>'[8]January 2024 APC'!$Q$9</f>
        <v>9640</v>
      </c>
      <c r="L28" s="157">
        <f>'[10]February 2024 APC'!$Q$9</f>
        <v>9612</v>
      </c>
      <c r="M28" s="157">
        <f>'[9]March 2024 APC'!$Q$9</f>
        <v>10687</v>
      </c>
      <c r="N28" s="186"/>
      <c r="O28" s="154">
        <f>'[11]April 2024 APC'!$Q$9</f>
        <v>11284</v>
      </c>
      <c r="P28" s="154">
        <f>'[8]May 2024 APC'!$Q$9</f>
        <v>11341</v>
      </c>
      <c r="Q28" s="154">
        <f>'[12]June 2024 APC'!$Q$9</f>
        <v>10387</v>
      </c>
      <c r="R28" s="186"/>
      <c r="S28" s="126">
        <f t="shared" si="4"/>
        <v>124958</v>
      </c>
    </row>
    <row r="29" spans="2:19" s="78" customFormat="1" ht="25.5" customHeight="1" x14ac:dyDescent="0.25">
      <c r="B29" s="84" t="s">
        <v>5</v>
      </c>
      <c r="C29" s="149">
        <v>6037</v>
      </c>
      <c r="D29" s="149">
        <v>7225</v>
      </c>
      <c r="E29" s="149">
        <v>6798</v>
      </c>
      <c r="F29" s="186"/>
      <c r="G29" s="150">
        <f>'[8]October 2023 APC'!$Q$12</f>
        <v>6938</v>
      </c>
      <c r="H29" s="150">
        <f>'[8]November 2023 APC'!$Q$12</f>
        <v>6578</v>
      </c>
      <c r="I29" s="150">
        <f>'[8]December 2023 APC'!$Q$12</f>
        <v>5601</v>
      </c>
      <c r="J29" s="186"/>
      <c r="K29" s="157">
        <f>'[8]January 2024 APC'!$Q$12</f>
        <v>7115.864864864865</v>
      </c>
      <c r="L29" s="157">
        <f>'[10]February 2024 APC'!$Q$12</f>
        <v>6974.3243243243242</v>
      </c>
      <c r="M29" s="157">
        <f>'[9]March 2024 APC'!$Q$12</f>
        <v>7114.0540540540542</v>
      </c>
      <c r="N29" s="186"/>
      <c r="O29" s="154">
        <f>'[11]April 2024 APC'!$Q$12</f>
        <v>7358.594594594595</v>
      </c>
      <c r="P29" s="154">
        <f>'[8]May 2024 APC'!$Q$12</f>
        <v>7399</v>
      </c>
      <c r="Q29" s="154">
        <f>'[12]June 2024 APC'!$Q$12</f>
        <v>7249.3693693693695</v>
      </c>
      <c r="R29" s="186"/>
      <c r="S29" s="126">
        <f t="shared" si="4"/>
        <v>82388.207207207204</v>
      </c>
    </row>
    <row r="30" spans="2:19" s="78" customFormat="1" ht="25.5" customHeight="1" x14ac:dyDescent="0.25">
      <c r="B30" s="84" t="s">
        <v>6</v>
      </c>
      <c r="C30" s="149">
        <v>14418</v>
      </c>
      <c r="D30" s="149">
        <v>16658</v>
      </c>
      <c r="E30" s="149">
        <v>16180</v>
      </c>
      <c r="F30" s="186"/>
      <c r="G30" s="150">
        <f>'[8]October 2023 APC'!$Q$15</f>
        <v>16084</v>
      </c>
      <c r="H30" s="150">
        <f>'[8]November 2023 APC'!$Q$15</f>
        <v>14315</v>
      </c>
      <c r="I30" s="150">
        <f>'[8]December 2023 APC'!$Q$15</f>
        <v>13859</v>
      </c>
      <c r="J30" s="186"/>
      <c r="K30" s="157">
        <f>'[8]January 2024 APC'!$Q$15</f>
        <v>14244.875</v>
      </c>
      <c r="L30" s="157">
        <f>'[10]February 2024 APC'!$Q$15</f>
        <v>16795.621212121212</v>
      </c>
      <c r="M30" s="157">
        <f>'[9]March 2024 APC'!$Q$15</f>
        <v>16160.833333333334</v>
      </c>
      <c r="N30" s="186"/>
      <c r="O30" s="154">
        <f>'[11]April 2024 APC'!$Q$15</f>
        <v>17026.164772727272</v>
      </c>
      <c r="P30" s="154">
        <f>'[8]May 2024 APC'!$Q$15</f>
        <v>18842.465909090912</v>
      </c>
      <c r="Q30" s="154">
        <f>'[12]June 2024 APC'!$Q$15</f>
        <v>17572.484848484848</v>
      </c>
      <c r="R30" s="186"/>
      <c r="S30" s="126">
        <f t="shared" si="4"/>
        <v>192156.44507575757</v>
      </c>
    </row>
    <row r="31" spans="2:19" s="78" customFormat="1" ht="25.5" customHeight="1" x14ac:dyDescent="0.25">
      <c r="B31" s="84" t="s">
        <v>7</v>
      </c>
      <c r="C31" s="149">
        <v>6216</v>
      </c>
      <c r="D31" s="149">
        <v>6570</v>
      </c>
      <c r="E31" s="149">
        <v>6327</v>
      </c>
      <c r="F31" s="186"/>
      <c r="G31" s="150">
        <f>'[8]October 2023 APC'!$Q$18</f>
        <v>6147</v>
      </c>
      <c r="H31" s="150">
        <f>'[8]November 2023 APC'!$Q$18</f>
        <v>6029</v>
      </c>
      <c r="I31" s="150">
        <f>'[8]December 2023 APC'!$Q$18</f>
        <v>5570</v>
      </c>
      <c r="J31" s="186"/>
      <c r="K31" s="157">
        <f>'[8]January 2024 APC'!$Q$18</f>
        <v>6463</v>
      </c>
      <c r="L31" s="157">
        <f>'[10]February 2024 APC'!$Q$18</f>
        <v>6222</v>
      </c>
      <c r="M31" s="157">
        <f>'[9]March 2024 APC'!$Q$18</f>
        <v>6789</v>
      </c>
      <c r="N31" s="186"/>
      <c r="O31" s="154">
        <f>'[11]April 2024 APC'!$Q$18</f>
        <v>7371</v>
      </c>
      <c r="P31" s="154">
        <f>'[8]May 2024 APC'!$Q$18</f>
        <v>7623</v>
      </c>
      <c r="Q31" s="154">
        <f>'[12]June 2024 APC'!$Q$18</f>
        <v>7484</v>
      </c>
      <c r="R31" s="186"/>
      <c r="S31" s="126">
        <f t="shared" si="4"/>
        <v>78811</v>
      </c>
    </row>
    <row r="32" spans="2:19" s="78" customFormat="1" ht="25.5" customHeight="1" x14ac:dyDescent="0.25">
      <c r="B32" s="84" t="s">
        <v>8</v>
      </c>
      <c r="C32" s="149">
        <v>26424</v>
      </c>
      <c r="D32" s="149">
        <v>30520</v>
      </c>
      <c r="E32" s="149">
        <v>27775</v>
      </c>
      <c r="F32" s="186"/>
      <c r="G32" s="150">
        <f>'[8]October 2023 APC'!$Q$21</f>
        <v>26787</v>
      </c>
      <c r="H32" s="150">
        <f>'[8]November 2023 APC'!$Q$21</f>
        <v>23935</v>
      </c>
      <c r="I32" s="150">
        <f>'[8]December 2023 APC'!$Q$21</f>
        <v>23225</v>
      </c>
      <c r="J32" s="186"/>
      <c r="K32" s="157">
        <f>'[8]January 2024 APC'!$Q$21</f>
        <v>26497.10606060606</v>
      </c>
      <c r="L32" s="157">
        <f>'[10]February 2024 APC'!$Q$21</f>
        <v>28657.272727272728</v>
      </c>
      <c r="M32" s="157">
        <f>'[9]March 2024 APC'!$Q$21</f>
        <v>27786.030303030304</v>
      </c>
      <c r="N32" s="186"/>
      <c r="O32" s="154">
        <f>'[11]April 2024 APC'!$Q$21</f>
        <v>30898.511363636364</v>
      </c>
      <c r="P32" s="154">
        <f>'[8]May 2024 APC'!$Q$21</f>
        <v>29257.017045454544</v>
      </c>
      <c r="Q32" s="154">
        <f>'[12]June 2024 APC'!$Q$21</f>
        <v>28760.034090909088</v>
      </c>
      <c r="R32" s="186"/>
      <c r="S32" s="126">
        <f t="shared" si="4"/>
        <v>330521.97159090906</v>
      </c>
    </row>
    <row r="33" spans="1:21" s="78" customFormat="1" ht="25.5" customHeight="1" x14ac:dyDescent="0.25">
      <c r="B33" s="84" t="s">
        <v>9</v>
      </c>
      <c r="C33" s="149">
        <v>7664</v>
      </c>
      <c r="D33" s="149">
        <v>7705</v>
      </c>
      <c r="E33" s="149">
        <v>7587</v>
      </c>
      <c r="F33" s="186"/>
      <c r="G33" s="150">
        <f>'[8]October 2023 APC'!$Q$24</f>
        <v>7765</v>
      </c>
      <c r="H33" s="150">
        <f>'[8]November 2023 APC'!$Q$24</f>
        <v>7218</v>
      </c>
      <c r="I33" s="150">
        <f>'[8]December 2023 APC'!$Q$24</f>
        <v>6685</v>
      </c>
      <c r="J33" s="186"/>
      <c r="K33" s="157">
        <f>'[8]January 2024 APC'!$Q$24</f>
        <v>6841</v>
      </c>
      <c r="L33" s="157">
        <f>'[10]February 2024 APC'!$Q$24</f>
        <v>6806</v>
      </c>
      <c r="M33" s="157">
        <f>'[9]March 2024 APC'!$Q$24</f>
        <v>7663</v>
      </c>
      <c r="N33" s="186"/>
      <c r="O33" s="154">
        <f>'[11]April 2024 APC'!$Q$24</f>
        <v>6999</v>
      </c>
      <c r="P33" s="154">
        <f>'[8]May 2024 APC'!$Q$24</f>
        <v>7780</v>
      </c>
      <c r="Q33" s="154">
        <f>'[12]June 2024 APC'!$Q$24</f>
        <v>7140</v>
      </c>
      <c r="R33" s="186"/>
      <c r="S33" s="126">
        <f t="shared" si="4"/>
        <v>87853</v>
      </c>
    </row>
    <row r="34" spans="1:21" s="78" customFormat="1" ht="25.5" customHeight="1" x14ac:dyDescent="0.25">
      <c r="B34" s="84" t="s">
        <v>10</v>
      </c>
      <c r="C34" s="149">
        <v>2043</v>
      </c>
      <c r="D34" s="149">
        <v>2970</v>
      </c>
      <c r="E34" s="149">
        <v>4333</v>
      </c>
      <c r="F34" s="186"/>
      <c r="G34" s="150">
        <f>'[8]October 2023 APC'!$Q$27</f>
        <v>4658</v>
      </c>
      <c r="H34" s="150">
        <f>'[8]November 2023 APC'!$Q$27</f>
        <v>3384</v>
      </c>
      <c r="I34" s="150">
        <f>'[8]December 2023 APC'!$Q$27</f>
        <v>3050</v>
      </c>
      <c r="J34" s="186"/>
      <c r="K34" s="157">
        <f>'[8]January 2024 APC'!$Q$27</f>
        <v>3134.8837209302324</v>
      </c>
      <c r="L34" s="157">
        <f>'[10]February 2024 APC'!$Q$27</f>
        <v>3294.2093023255816</v>
      </c>
      <c r="M34" s="157">
        <f>'[9]March 2024 APC'!$Q$27</f>
        <v>3646.6279069767443</v>
      </c>
      <c r="N34" s="186"/>
      <c r="O34" s="154">
        <f>'[11]April 2024 APC'!$Q$27</f>
        <v>3392.9302325581393</v>
      </c>
      <c r="P34" s="154">
        <f>'[8]May 2024 APC'!$Q$27</f>
        <v>4455</v>
      </c>
      <c r="Q34" s="154">
        <f>'[12]June 2024 APC'!$Q$27</f>
        <v>2985.3255813953488</v>
      </c>
      <c r="R34" s="186"/>
      <c r="S34" s="126">
        <f t="shared" si="4"/>
        <v>41346.976744186046</v>
      </c>
    </row>
    <row r="35" spans="1:21" s="78" customFormat="1" ht="25.5" customHeight="1" x14ac:dyDescent="0.25">
      <c r="B35" s="84" t="s">
        <v>11</v>
      </c>
      <c r="C35" s="149">
        <v>5581</v>
      </c>
      <c r="D35" s="149">
        <v>6227</v>
      </c>
      <c r="E35" s="149">
        <v>6105</v>
      </c>
      <c r="F35" s="186"/>
      <c r="G35" s="150">
        <f>'[8]October 2023 APC'!$Q$30</f>
        <v>5682</v>
      </c>
      <c r="H35" s="150">
        <f>'[8]November 2023 APC'!$Q$30</f>
        <v>5543</v>
      </c>
      <c r="I35" s="150">
        <f>'[8]December 2023 APC'!$Q$30</f>
        <v>5275</v>
      </c>
      <c r="J35" s="186"/>
      <c r="K35" s="157">
        <f>'[8]January 2024 APC'!$Q$30</f>
        <v>5458</v>
      </c>
      <c r="L35" s="157">
        <f>'[10]February 2024 APC'!$Q$30</f>
        <v>5778</v>
      </c>
      <c r="M35" s="157">
        <f>'[9]March 2024 APC'!$Q$30</f>
        <v>6087</v>
      </c>
      <c r="N35" s="186"/>
      <c r="O35" s="154">
        <f>'[11]April 2024 APC'!$Q$30</f>
        <v>6815</v>
      </c>
      <c r="P35" s="154">
        <f>'[8]May 2024 APC'!$Q$30</f>
        <v>6540</v>
      </c>
      <c r="Q35" s="154">
        <f>'[12]June 2024 APC'!$Q$30</f>
        <v>6617</v>
      </c>
      <c r="R35" s="186"/>
      <c r="S35" s="126">
        <f t="shared" si="4"/>
        <v>71708</v>
      </c>
    </row>
    <row r="36" spans="1:21" s="78" customFormat="1" ht="25.5" customHeight="1" x14ac:dyDescent="0.25">
      <c r="B36" s="84" t="s">
        <v>12</v>
      </c>
      <c r="C36" s="149">
        <v>6046</v>
      </c>
      <c r="D36" s="149">
        <v>6368</v>
      </c>
      <c r="E36" s="149">
        <v>6332</v>
      </c>
      <c r="F36" s="186"/>
      <c r="G36" s="150">
        <f>'[8]October 2023 APC'!$Q$33</f>
        <v>6291</v>
      </c>
      <c r="H36" s="150">
        <f>'[8]November 2023 APC'!$Q$33</f>
        <v>6088</v>
      </c>
      <c r="I36" s="150">
        <f>'[8]December 2023 APC'!$Q$33</f>
        <v>5550</v>
      </c>
      <c r="J36" s="186"/>
      <c r="K36" s="157">
        <f>'[8]January 2024 APC'!$Q$33</f>
        <v>5844</v>
      </c>
      <c r="L36" s="157">
        <f>'[10]February 2024 APC'!$Q$33</f>
        <v>6091</v>
      </c>
      <c r="M36" s="157">
        <f>'[9]March 2024 APC'!$Q$33</f>
        <v>6312</v>
      </c>
      <c r="N36" s="186"/>
      <c r="O36" s="154">
        <f>'[11]April 2024 APC'!$Q$33</f>
        <v>6379</v>
      </c>
      <c r="P36" s="154">
        <f>'[8]May 2024 APC'!$Q$33</f>
        <v>6468</v>
      </c>
      <c r="Q36" s="154">
        <f>'[12]June 2024 APC'!$Q$33</f>
        <v>6154</v>
      </c>
      <c r="R36" s="186"/>
      <c r="S36" s="126">
        <f t="shared" si="4"/>
        <v>73923</v>
      </c>
    </row>
    <row r="37" spans="1:21" s="78" customFormat="1" ht="25.5" customHeight="1" x14ac:dyDescent="0.25">
      <c r="B37" s="84" t="s">
        <v>13</v>
      </c>
      <c r="C37" s="120"/>
      <c r="D37" s="121"/>
      <c r="E37" s="133"/>
      <c r="F37" s="186"/>
      <c r="G37" s="122"/>
      <c r="H37" s="143"/>
      <c r="I37" s="123"/>
      <c r="J37" s="186"/>
      <c r="K37" s="124"/>
      <c r="L37" s="120"/>
      <c r="M37" s="120"/>
      <c r="N37" s="186"/>
      <c r="O37" s="89"/>
      <c r="P37" s="120"/>
      <c r="Q37" s="120"/>
      <c r="R37" s="186"/>
      <c r="S37" s="126">
        <f t="shared" si="4"/>
        <v>0</v>
      </c>
    </row>
    <row r="38" spans="1:21" s="78" customFormat="1" ht="25.5" customHeight="1" x14ac:dyDescent="0.25">
      <c r="B38" s="84" t="s">
        <v>14</v>
      </c>
      <c r="C38" s="120"/>
      <c r="D38" s="120"/>
      <c r="E38" s="120"/>
      <c r="F38" s="186"/>
      <c r="G38" s="122"/>
      <c r="H38" s="86"/>
      <c r="I38" s="123"/>
      <c r="J38" s="186"/>
      <c r="K38" s="124"/>
      <c r="L38" s="125"/>
      <c r="M38" s="120"/>
      <c r="N38" s="186"/>
      <c r="O38" s="123"/>
      <c r="P38" s="120"/>
      <c r="Q38" s="120"/>
      <c r="R38" s="186"/>
      <c r="S38" s="126">
        <f t="shared" si="4"/>
        <v>0</v>
      </c>
    </row>
    <row r="39" spans="1:21" s="78" customFormat="1" ht="25.5" customHeight="1" x14ac:dyDescent="0.25">
      <c r="A39" s="132"/>
      <c r="B39" s="98" t="s">
        <v>15</v>
      </c>
      <c r="C39" s="130">
        <f t="shared" ref="C39" si="5">SUM(C25:C38)</f>
        <v>100496</v>
      </c>
      <c r="D39" s="130">
        <f>SUM(D25:D38)</f>
        <v>116609</v>
      </c>
      <c r="E39" s="130">
        <f>SUM(E25:E38)</f>
        <v>117720</v>
      </c>
      <c r="F39" s="187"/>
      <c r="G39" s="130">
        <f t="shared" ref="G39:I39" si="6">SUM(G25:G38)</f>
        <v>115974</v>
      </c>
      <c r="H39" s="130">
        <f t="shared" si="6"/>
        <v>105881</v>
      </c>
      <c r="I39" s="130">
        <f t="shared" si="6"/>
        <v>97921</v>
      </c>
      <c r="J39" s="187"/>
      <c r="K39" s="130">
        <f t="shared" ref="K39:M39" si="7">SUM(K25:K38)</f>
        <v>106480.84940955904</v>
      </c>
      <c r="L39" s="130">
        <f t="shared" si="7"/>
        <v>114015.42756604386</v>
      </c>
      <c r="M39" s="130">
        <f t="shared" si="7"/>
        <v>116306.19033423655</v>
      </c>
      <c r="N39" s="187"/>
      <c r="O39" s="130">
        <f t="shared" ref="O39:Q39" si="8">SUM(O25:O38)</f>
        <v>123586.20096351637</v>
      </c>
      <c r="P39" s="130">
        <f t="shared" si="8"/>
        <v>122504.48295454546</v>
      </c>
      <c r="Q39" s="130">
        <f t="shared" si="8"/>
        <v>115565.93264015864</v>
      </c>
      <c r="R39" s="187"/>
      <c r="S39" s="131">
        <f t="shared" si="4"/>
        <v>1353060.0838680598</v>
      </c>
    </row>
    <row r="40" spans="1:21" s="78" customFormat="1" ht="25.5" customHeight="1" x14ac:dyDescent="0.25">
      <c r="D40" s="181" t="s">
        <v>25</v>
      </c>
      <c r="E40" s="181"/>
      <c r="F40" s="101">
        <f>SUM(C39:E39)</f>
        <v>334825</v>
      </c>
      <c r="G40" s="182" t="s">
        <v>20</v>
      </c>
      <c r="H40" s="182"/>
      <c r="I40" s="182"/>
      <c r="J40" s="103">
        <f>SUM(G39:I39)</f>
        <v>319776</v>
      </c>
      <c r="K40" s="188" t="s">
        <v>27</v>
      </c>
      <c r="L40" s="188"/>
      <c r="M40" s="188"/>
      <c r="N40" s="93">
        <f>SUM(K39:M39)</f>
        <v>336802.46730983944</v>
      </c>
      <c r="O40" s="184" t="s">
        <v>28</v>
      </c>
      <c r="P40" s="184"/>
      <c r="Q40" s="184"/>
      <c r="R40" s="104">
        <f>SUM(O39:Q39)</f>
        <v>361656.61655822047</v>
      </c>
      <c r="U40" s="93"/>
    </row>
    <row r="41" spans="1:21" ht="25.5" customHeight="1" x14ac:dyDescent="0.5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</row>
    <row r="42" spans="1:21" ht="25.5" customHeight="1" x14ac:dyDescent="0.4">
      <c r="B42" s="180" t="s">
        <v>32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</row>
    <row r="43" spans="1:21" s="78" customFormat="1" ht="25.5" customHeight="1" x14ac:dyDescent="0.25">
      <c r="B43" s="79" t="s">
        <v>32</v>
      </c>
      <c r="C43" s="80">
        <v>44743</v>
      </c>
      <c r="D43" s="80">
        <v>44774</v>
      </c>
      <c r="E43" s="80">
        <v>44805</v>
      </c>
      <c r="F43" s="185" t="s">
        <v>18</v>
      </c>
      <c r="G43" s="95">
        <v>44835</v>
      </c>
      <c r="H43" s="94">
        <v>44866</v>
      </c>
      <c r="I43" s="80">
        <v>44896</v>
      </c>
      <c r="J43" s="185" t="s">
        <v>19</v>
      </c>
      <c r="K43" s="80">
        <v>44927</v>
      </c>
      <c r="L43" s="80">
        <v>44958</v>
      </c>
      <c r="M43" s="80">
        <v>44986</v>
      </c>
      <c r="N43" s="185" t="s">
        <v>24</v>
      </c>
      <c r="O43" s="80">
        <v>45017</v>
      </c>
      <c r="P43" s="80">
        <v>45047</v>
      </c>
      <c r="Q43" s="80">
        <v>45078</v>
      </c>
      <c r="R43" s="185" t="s">
        <v>26</v>
      </c>
      <c r="S43" s="128"/>
    </row>
    <row r="44" spans="1:21" s="78" customFormat="1" ht="25.5" customHeight="1" x14ac:dyDescent="0.25">
      <c r="B44" s="82" t="s">
        <v>1</v>
      </c>
      <c r="C44" s="127">
        <v>10106</v>
      </c>
      <c r="D44" s="116">
        <v>13697</v>
      </c>
      <c r="E44" s="115">
        <v>18725</v>
      </c>
      <c r="F44" s="186"/>
      <c r="G44" s="117">
        <v>14657</v>
      </c>
      <c r="H44" s="107">
        <v>8052</v>
      </c>
      <c r="I44" s="118">
        <v>6282</v>
      </c>
      <c r="J44" s="186"/>
      <c r="K44" s="115">
        <v>6786</v>
      </c>
      <c r="L44" s="119">
        <v>8982</v>
      </c>
      <c r="M44" s="144">
        <v>8880</v>
      </c>
      <c r="N44" s="186"/>
      <c r="O44" s="92">
        <f>'[13]April 2023 APC'!$Q$36</f>
        <v>12326.947371999999</v>
      </c>
      <c r="P44" s="115">
        <v>9400</v>
      </c>
      <c r="Q44" s="92">
        <v>7269</v>
      </c>
      <c r="R44" s="186"/>
      <c r="S44" s="129">
        <f>SUM(C44:Q44)</f>
        <v>125162.947372</v>
      </c>
    </row>
    <row r="45" spans="1:21" s="78" customFormat="1" ht="25.5" customHeight="1" x14ac:dyDescent="0.25">
      <c r="B45" s="84" t="s">
        <v>2</v>
      </c>
      <c r="C45" s="136">
        <v>2071</v>
      </c>
      <c r="D45" s="136">
        <v>2729</v>
      </c>
      <c r="E45" s="137">
        <v>3420</v>
      </c>
      <c r="F45" s="186"/>
      <c r="G45" s="140">
        <v>2859</v>
      </c>
      <c r="H45" s="140">
        <f>'[13]November 2022 APC'!$Q$3</f>
        <v>2647.4923076923078</v>
      </c>
      <c r="I45" s="140">
        <f>'[13]December 2022 APC'!$Q$3</f>
        <v>2764</v>
      </c>
      <c r="J45" s="186"/>
      <c r="K45" s="142">
        <f>'[13]January 2023 APC'!$Q$3</f>
        <v>2478.523076923077</v>
      </c>
      <c r="L45" s="142">
        <f>'[13]February 2023 APC'!$Q$3</f>
        <v>2776</v>
      </c>
      <c r="M45" s="114">
        <v>2869</v>
      </c>
      <c r="N45" s="186"/>
      <c r="O45" s="152">
        <f>'[13]April 2023 APC'!$Q$3</f>
        <v>2743</v>
      </c>
      <c r="P45" s="152">
        <f>'[14]May 2023 APC'!$Q$3</f>
        <v>2249</v>
      </c>
      <c r="Q45" s="152">
        <f>'[15]June 2023 APC'!$Q$3</f>
        <v>2450</v>
      </c>
      <c r="R45" s="186"/>
      <c r="S45" s="126">
        <f t="shared" ref="S45:S58" si="9">SUM(C45:Q45)</f>
        <v>32056.015384615384</v>
      </c>
    </row>
    <row r="46" spans="1:21" s="78" customFormat="1" ht="25.5" customHeight="1" x14ac:dyDescent="0.25">
      <c r="B46" s="84" t="s">
        <v>3</v>
      </c>
      <c r="C46" s="138">
        <v>5289</v>
      </c>
      <c r="D46" s="138">
        <v>6656</v>
      </c>
      <c r="E46" s="134">
        <v>5728</v>
      </c>
      <c r="F46" s="186"/>
      <c r="G46" s="140">
        <v>5278</v>
      </c>
      <c r="H46" s="140">
        <f>'[13]November 2022 APC'!$Q$6</f>
        <v>4798.136842105263</v>
      </c>
      <c r="I46" s="140">
        <f>'[13]December 2022 APC'!$Q$6</f>
        <v>5319</v>
      </c>
      <c r="J46" s="186"/>
      <c r="K46" s="142">
        <f>'[13]January 2023 APC'!$Q$6</f>
        <v>5182.7473684210527</v>
      </c>
      <c r="L46" s="142">
        <f>'[13]February 2023 APC'!$Q$6</f>
        <v>5284</v>
      </c>
      <c r="M46" s="114">
        <v>4964</v>
      </c>
      <c r="N46" s="186"/>
      <c r="O46" s="152">
        <f>'[13]April 2023 APC'!$Q$6</f>
        <v>5677.171875</v>
      </c>
      <c r="P46" s="152">
        <f>'[14]May 2023 APC'!$Q$6</f>
        <v>6538</v>
      </c>
      <c r="Q46" s="152">
        <f>'[15]June 2023 APC'!$Q$6</f>
        <v>7007</v>
      </c>
      <c r="R46" s="186"/>
      <c r="S46" s="126">
        <f t="shared" si="9"/>
        <v>67721.056085526317</v>
      </c>
    </row>
    <row r="47" spans="1:21" s="78" customFormat="1" ht="25.5" customHeight="1" x14ac:dyDescent="0.25">
      <c r="B47" s="84" t="s">
        <v>4</v>
      </c>
      <c r="C47" s="138">
        <v>8693</v>
      </c>
      <c r="D47" s="138">
        <v>9848</v>
      </c>
      <c r="E47" s="134">
        <v>9681</v>
      </c>
      <c r="F47" s="186"/>
      <c r="G47" s="140">
        <v>8514</v>
      </c>
      <c r="H47" s="140">
        <f>'[13]November 2022 APC'!$Q$9</f>
        <v>8211</v>
      </c>
      <c r="I47" s="140">
        <f>'[13]December 2022 APC'!$Q$9</f>
        <v>9003</v>
      </c>
      <c r="J47" s="186"/>
      <c r="K47" s="142">
        <f>'[13]January 2023 APC'!$Q$9</f>
        <v>9264</v>
      </c>
      <c r="L47" s="142">
        <f>'[13]February 2023 APC'!$Q$9</f>
        <v>8338</v>
      </c>
      <c r="M47" s="114">
        <v>9487</v>
      </c>
      <c r="N47" s="186"/>
      <c r="O47" s="152">
        <f>'[13]April 2023 APC'!$Q$9</f>
        <v>8915</v>
      </c>
      <c r="P47" s="152">
        <f>'[14]May 2023 APC'!$Q$9</f>
        <v>8772</v>
      </c>
      <c r="Q47" s="152">
        <f>'[15]June 2023 APC'!$Q$9</f>
        <v>9511</v>
      </c>
      <c r="R47" s="186"/>
      <c r="S47" s="126">
        <f t="shared" si="9"/>
        <v>108237</v>
      </c>
    </row>
    <row r="48" spans="1:21" s="78" customFormat="1" ht="25.5" customHeight="1" x14ac:dyDescent="0.25">
      <c r="B48" s="84" t="s">
        <v>5</v>
      </c>
      <c r="C48" s="138">
        <v>5372</v>
      </c>
      <c r="D48" s="138">
        <v>5931</v>
      </c>
      <c r="E48" s="134">
        <v>6408</v>
      </c>
      <c r="F48" s="186"/>
      <c r="G48" s="140">
        <v>5869</v>
      </c>
      <c r="H48" s="140">
        <f>'[13]November 2022 APC'!$Q$12</f>
        <v>4878.6621621621625</v>
      </c>
      <c r="I48" s="140">
        <f>'[13]December 2022 APC'!$Q$12</f>
        <v>5385</v>
      </c>
      <c r="J48" s="186"/>
      <c r="K48" s="142">
        <f>'[13]January 2023 APC'!$Q$12</f>
        <v>6115.27027027027</v>
      </c>
      <c r="L48" s="142">
        <f>'[13]February 2023 APC'!$Q$12</f>
        <v>5440</v>
      </c>
      <c r="M48" s="114">
        <v>6155</v>
      </c>
      <c r="N48" s="186"/>
      <c r="O48" s="152">
        <f>'[13]April 2023 APC'!$Q$12</f>
        <v>5669.9189189999997</v>
      </c>
      <c r="P48" s="152">
        <f>'[14]May 2023 APC'!$Q$12</f>
        <v>5686</v>
      </c>
      <c r="Q48" s="152">
        <f>'[15]June 2023 APC'!$Q$12</f>
        <v>6114</v>
      </c>
      <c r="R48" s="186"/>
      <c r="S48" s="126">
        <f t="shared" si="9"/>
        <v>69023.85135143243</v>
      </c>
    </row>
    <row r="49" spans="2:19" s="78" customFormat="1" ht="25.5" customHeight="1" x14ac:dyDescent="0.25">
      <c r="B49" s="84" t="s">
        <v>6</v>
      </c>
      <c r="C49" s="138">
        <v>15740</v>
      </c>
      <c r="D49" s="138">
        <v>18868</v>
      </c>
      <c r="E49" s="134">
        <v>17841</v>
      </c>
      <c r="F49" s="186"/>
      <c r="G49" s="140">
        <f>'[16]October 2022 APC'!$O$15</f>
        <v>15491</v>
      </c>
      <c r="H49" s="140">
        <f>'[13]November 2022 APC'!$Q$15</f>
        <v>10092.629875886525</v>
      </c>
      <c r="I49" s="140">
        <f>'[13]December 2022 APC'!$Q$15</f>
        <v>9829</v>
      </c>
      <c r="J49" s="186"/>
      <c r="K49" s="142">
        <f>'[13]January 2023 APC'!$Q$15</f>
        <v>10439.84375</v>
      </c>
      <c r="L49" s="142">
        <f>'[13]February 2023 APC'!$Q$15</f>
        <v>11829</v>
      </c>
      <c r="M49" s="114">
        <v>12355</v>
      </c>
      <c r="N49" s="186"/>
      <c r="O49" s="152">
        <f>'[13]April 2023 APC'!$Q$15</f>
        <v>12364.454546000001</v>
      </c>
      <c r="P49" s="152">
        <f>'[14]May 2023 APC'!$Q$15</f>
        <v>11997</v>
      </c>
      <c r="Q49" s="152">
        <f>'[15]June 2023 APC'!$Q$15</f>
        <v>14023</v>
      </c>
      <c r="R49" s="186"/>
      <c r="S49" s="126">
        <f t="shared" si="9"/>
        <v>160869.92817188654</v>
      </c>
    </row>
    <row r="50" spans="2:19" s="78" customFormat="1" ht="25.5" customHeight="1" x14ac:dyDescent="0.25">
      <c r="B50" s="84" t="s">
        <v>7</v>
      </c>
      <c r="C50" s="138">
        <v>5576</v>
      </c>
      <c r="D50" s="138">
        <v>5675</v>
      </c>
      <c r="E50" s="134">
        <v>5230</v>
      </c>
      <c r="F50" s="186"/>
      <c r="G50" s="140">
        <f>'[16]October 2022 APC'!$O$18</f>
        <v>5154</v>
      </c>
      <c r="H50" s="140">
        <f>'[13]November 2022 APC'!$Q$18</f>
        <v>4759</v>
      </c>
      <c r="I50" s="140">
        <f>'[13]December 2022 APC'!$Q$18</f>
        <v>5026</v>
      </c>
      <c r="J50" s="186"/>
      <c r="K50" s="142">
        <f>'[13]January 2023 APC'!$Q$18</f>
        <v>5366.5</v>
      </c>
      <c r="L50" s="142">
        <f>'[13]February 2023 APC'!$Q$18</f>
        <v>4994</v>
      </c>
      <c r="M50" s="114">
        <v>5271</v>
      </c>
      <c r="N50" s="186"/>
      <c r="O50" s="152">
        <f>'[13]April 2023 APC'!$Q$18</f>
        <v>4789</v>
      </c>
      <c r="P50" s="152">
        <f>'[14]May 2023 APC'!$Q$18</f>
        <v>5159</v>
      </c>
      <c r="Q50" s="152">
        <f>'[15]June 2023 APC'!$Q$18</f>
        <v>5378</v>
      </c>
      <c r="R50" s="186"/>
      <c r="S50" s="126">
        <f t="shared" si="9"/>
        <v>62377.5</v>
      </c>
    </row>
    <row r="51" spans="2:19" s="78" customFormat="1" ht="25.5" customHeight="1" x14ac:dyDescent="0.25">
      <c r="B51" s="84" t="s">
        <v>8</v>
      </c>
      <c r="C51" s="138">
        <v>28236</v>
      </c>
      <c r="D51" s="138">
        <v>30206</v>
      </c>
      <c r="E51" s="134">
        <v>29127</v>
      </c>
      <c r="F51" s="186"/>
      <c r="G51" s="140">
        <f>'[16]October 2022 APC'!$O$21</f>
        <v>28863</v>
      </c>
      <c r="H51" s="140">
        <f>'[13]November 2022 APC'!$Q$21</f>
        <v>16692.963541666668</v>
      </c>
      <c r="I51" s="140">
        <f>'[13]December 2022 APC'!$Q$21</f>
        <v>15346</v>
      </c>
      <c r="J51" s="186"/>
      <c r="K51" s="142">
        <f>'[13]January 2023 APC'!$Q$21</f>
        <v>19613.633928571428</v>
      </c>
      <c r="L51" s="142">
        <f>'[13]February 2023 APC'!$Q$21</f>
        <v>19901</v>
      </c>
      <c r="M51" s="114">
        <v>19574</v>
      </c>
      <c r="N51" s="186"/>
      <c r="O51" s="152">
        <f>'[13]April 2023 APC'!$Q$21</f>
        <v>19940.151512</v>
      </c>
      <c r="P51" s="152">
        <f>'[14]May 2023 APC'!$Q$21</f>
        <v>19531</v>
      </c>
      <c r="Q51" s="152">
        <f>'[15]June 2023 APC'!$Q$21</f>
        <v>23471</v>
      </c>
      <c r="R51" s="186"/>
      <c r="S51" s="126">
        <f t="shared" si="9"/>
        <v>270501.74898223812</v>
      </c>
    </row>
    <row r="52" spans="2:19" s="78" customFormat="1" ht="25.5" customHeight="1" x14ac:dyDescent="0.25">
      <c r="B52" s="84" t="s">
        <v>9</v>
      </c>
      <c r="C52" s="138">
        <v>6689</v>
      </c>
      <c r="D52" s="138">
        <v>7366</v>
      </c>
      <c r="E52" s="134">
        <v>7165</v>
      </c>
      <c r="F52" s="186"/>
      <c r="G52" s="140">
        <f>'[16]October 2022 APC'!$O$24</f>
        <v>6654</v>
      </c>
      <c r="H52" s="140">
        <f>'[13]November 2022 APC'!$Q$24</f>
        <v>6858</v>
      </c>
      <c r="I52" s="140">
        <f>'[13]December 2022 APC'!$Q$24</f>
        <v>7476</v>
      </c>
      <c r="J52" s="186"/>
      <c r="K52" s="142">
        <f>'[13]January 2023 APC'!$Q$24</f>
        <v>7164</v>
      </c>
      <c r="L52" s="142">
        <f>'[13]February 2023 APC'!$Q$24</f>
        <v>6075</v>
      </c>
      <c r="M52" s="114">
        <v>6235</v>
      </c>
      <c r="N52" s="186"/>
      <c r="O52" s="152">
        <f>'[13]April 2023 APC'!$Q$24</f>
        <v>6680.5416667</v>
      </c>
      <c r="P52" s="152">
        <f>'[14]May 2023 APC'!$Q$24</f>
        <v>6913</v>
      </c>
      <c r="Q52" s="152">
        <f>'[15]June 2023 APC'!$Q$24</f>
        <v>7557</v>
      </c>
      <c r="R52" s="186"/>
      <c r="S52" s="126">
        <f t="shared" si="9"/>
        <v>82832.541666699995</v>
      </c>
    </row>
    <row r="53" spans="2:19" s="78" customFormat="1" ht="25.5" customHeight="1" x14ac:dyDescent="0.25">
      <c r="B53" s="84" t="s">
        <v>10</v>
      </c>
      <c r="C53" s="138">
        <v>1485</v>
      </c>
      <c r="D53" s="138">
        <v>2569</v>
      </c>
      <c r="E53" s="134">
        <v>2872</v>
      </c>
      <c r="F53" s="186"/>
      <c r="G53" s="140">
        <f>'[16]October 2022 APC'!$O$27</f>
        <v>4050</v>
      </c>
      <c r="H53" s="140">
        <f>'[13]November 2022 APC'!$Q$27</f>
        <v>2572.4594594594596</v>
      </c>
      <c r="I53" s="140">
        <f>'[13]December 2022 APC'!$Q$27</f>
        <v>3524</v>
      </c>
      <c r="J53" s="186"/>
      <c r="K53" s="142">
        <f>'[13]January 2023 APC'!$Q$27</f>
        <v>3813.1395348837209</v>
      </c>
      <c r="L53" s="142">
        <f>'[13]February 2023 APC'!$Q$27</f>
        <v>4069</v>
      </c>
      <c r="M53" s="114">
        <v>3615</v>
      </c>
      <c r="N53" s="186"/>
      <c r="O53" s="152">
        <f>'[13]April 2023 APC'!$Q$27</f>
        <v>2332.4538634</v>
      </c>
      <c r="P53" s="152">
        <f>'[14]May 2023 APC'!$Q$27</f>
        <v>3005</v>
      </c>
      <c r="Q53" s="152">
        <f>'[15]June 2023 APC'!$Q$27</f>
        <v>2146</v>
      </c>
      <c r="R53" s="186"/>
      <c r="S53" s="126">
        <f t="shared" si="9"/>
        <v>36053.052857743183</v>
      </c>
    </row>
    <row r="54" spans="2:19" s="78" customFormat="1" ht="25.5" customHeight="1" x14ac:dyDescent="0.25">
      <c r="B54" s="84" t="s">
        <v>11</v>
      </c>
      <c r="C54" s="138">
        <v>5086</v>
      </c>
      <c r="D54" s="138">
        <v>5579</v>
      </c>
      <c r="E54" s="134">
        <v>5463</v>
      </c>
      <c r="F54" s="186"/>
      <c r="G54" s="140">
        <f>'[16]October 2022 APC'!$O$30</f>
        <v>5192</v>
      </c>
      <c r="H54" s="140">
        <f>'[13]November 2022 APC'!$Q$30</f>
        <v>4542</v>
      </c>
      <c r="I54" s="140">
        <f>'[13]December 2022 APC'!$Q$30</f>
        <v>4567</v>
      </c>
      <c r="J54" s="186"/>
      <c r="K54" s="142">
        <f>'[13]January 2023 APC'!$Q$30</f>
        <v>4890</v>
      </c>
      <c r="L54" s="142">
        <f>'[13]February 2023 APC'!$Q$30</f>
        <v>4665</v>
      </c>
      <c r="M54" s="114">
        <v>4962</v>
      </c>
      <c r="N54" s="186"/>
      <c r="O54" s="152">
        <f>'[13]April 2023 APC'!$Q$30</f>
        <v>4923</v>
      </c>
      <c r="P54" s="152">
        <f>'[14]May 2023 APC'!$Q$30</f>
        <v>5026</v>
      </c>
      <c r="Q54" s="152">
        <f>'[15]June 2023 APC'!$Q$30</f>
        <v>5227</v>
      </c>
      <c r="R54" s="186"/>
      <c r="S54" s="126">
        <f t="shared" si="9"/>
        <v>60122</v>
      </c>
    </row>
    <row r="55" spans="2:19" s="78" customFormat="1" ht="25.5" customHeight="1" x14ac:dyDescent="0.25">
      <c r="B55" s="84" t="s">
        <v>12</v>
      </c>
      <c r="C55" s="139">
        <v>5342</v>
      </c>
      <c r="D55" s="139">
        <v>5451</v>
      </c>
      <c r="E55" s="135">
        <v>5962</v>
      </c>
      <c r="F55" s="186"/>
      <c r="G55" s="141">
        <f>'[16]October 2022 APC'!$O$33</f>
        <v>6055</v>
      </c>
      <c r="H55" s="141">
        <f>'[13]November 2022 APC'!$Q$33</f>
        <v>6060</v>
      </c>
      <c r="I55" s="141">
        <f>'[13]December 2022 APC'!$Q$33</f>
        <v>7108</v>
      </c>
      <c r="J55" s="186"/>
      <c r="K55" s="142">
        <f>'[13]January 2023 APC'!$Q$33</f>
        <v>5965</v>
      </c>
      <c r="L55" s="142">
        <f>'[13]February 2023 APC'!$Q$33</f>
        <v>5277</v>
      </c>
      <c r="M55" s="114">
        <v>5766</v>
      </c>
      <c r="N55" s="186"/>
      <c r="O55" s="152">
        <f>'[13]April 2023 APC'!$Q$33</f>
        <v>6362</v>
      </c>
      <c r="P55" s="152">
        <f>'[14]May 2023 APC'!$Q$33</f>
        <v>6276</v>
      </c>
      <c r="Q55" s="152">
        <f>'[15]June 2023 APC'!$Q$33</f>
        <v>6436</v>
      </c>
      <c r="R55" s="186"/>
      <c r="S55" s="126">
        <f t="shared" si="9"/>
        <v>72060</v>
      </c>
    </row>
    <row r="56" spans="2:19" s="78" customFormat="1" ht="25.5" customHeight="1" x14ac:dyDescent="0.25">
      <c r="B56" s="84" t="s">
        <v>13</v>
      </c>
      <c r="C56" s="120"/>
      <c r="D56" s="121"/>
      <c r="E56" s="133"/>
      <c r="F56" s="186"/>
      <c r="G56" s="122"/>
      <c r="H56" s="143"/>
      <c r="I56" s="123"/>
      <c r="J56" s="186"/>
      <c r="K56" s="124"/>
      <c r="L56" s="120"/>
      <c r="M56" s="120"/>
      <c r="N56" s="186"/>
      <c r="O56" s="145"/>
      <c r="P56" s="120"/>
      <c r="Q56" s="120"/>
      <c r="R56" s="186"/>
      <c r="S56" s="126">
        <f t="shared" si="9"/>
        <v>0</v>
      </c>
    </row>
    <row r="57" spans="2:19" s="78" customFormat="1" ht="25.5" customHeight="1" x14ac:dyDescent="0.25">
      <c r="B57" s="84" t="s">
        <v>14</v>
      </c>
      <c r="C57" s="120"/>
      <c r="D57" s="120"/>
      <c r="E57" s="120"/>
      <c r="F57" s="186"/>
      <c r="G57" s="122"/>
      <c r="H57" s="86"/>
      <c r="I57" s="123"/>
      <c r="J57" s="186"/>
      <c r="K57" s="124"/>
      <c r="L57" s="125"/>
      <c r="M57" s="120"/>
      <c r="N57" s="186"/>
      <c r="O57" s="123"/>
      <c r="P57" s="120"/>
      <c r="Q57" s="120"/>
      <c r="R57" s="186"/>
      <c r="S57" s="126">
        <f t="shared" si="9"/>
        <v>0</v>
      </c>
    </row>
    <row r="58" spans="2:19" s="132" customFormat="1" ht="25.5" customHeight="1" x14ac:dyDescent="0.2">
      <c r="B58" s="98" t="s">
        <v>15</v>
      </c>
      <c r="C58" s="130">
        <f t="shared" ref="C58" si="10">SUM(C44:C57)</f>
        <v>99685</v>
      </c>
      <c r="D58" s="130">
        <f>SUM(D44:D57)</f>
        <v>114575</v>
      </c>
      <c r="E58" s="130">
        <f>SUM(E44:E57)</f>
        <v>117622</v>
      </c>
      <c r="F58" s="187"/>
      <c r="G58" s="130">
        <f t="shared" ref="G58:I58" si="11">SUM(G44:G57)</f>
        <v>108636</v>
      </c>
      <c r="H58" s="130">
        <f t="shared" si="11"/>
        <v>80164.344188972376</v>
      </c>
      <c r="I58" s="130">
        <f t="shared" si="11"/>
        <v>81629</v>
      </c>
      <c r="J58" s="187"/>
      <c r="K58" s="130">
        <f t="shared" ref="K58:M58" si="12">SUM(K44:K57)</f>
        <v>87078.657929069552</v>
      </c>
      <c r="L58" s="130">
        <f t="shared" si="12"/>
        <v>87630</v>
      </c>
      <c r="M58" s="130">
        <f t="shared" si="12"/>
        <v>90133</v>
      </c>
      <c r="N58" s="187"/>
      <c r="O58" s="130">
        <f t="shared" ref="O58:Q58" si="13">SUM(O44:O57)</f>
        <v>92723.639754100004</v>
      </c>
      <c r="P58" s="130">
        <f t="shared" si="13"/>
        <v>90552</v>
      </c>
      <c r="Q58" s="130">
        <f t="shared" si="13"/>
        <v>96589</v>
      </c>
      <c r="R58" s="187"/>
      <c r="S58" s="131">
        <f t="shared" si="9"/>
        <v>1147017.641872142</v>
      </c>
    </row>
    <row r="59" spans="2:19" s="78" customFormat="1" ht="25.5" customHeight="1" x14ac:dyDescent="0.25">
      <c r="D59" s="181" t="s">
        <v>25</v>
      </c>
      <c r="E59" s="181"/>
      <c r="F59" s="101">
        <f>SUM(C58:E58)</f>
        <v>331882</v>
      </c>
      <c r="G59" s="182" t="s">
        <v>20</v>
      </c>
      <c r="H59" s="182"/>
      <c r="I59" s="182"/>
      <c r="J59" s="103">
        <f>SUM(G58:I58)</f>
        <v>270429.34418897238</v>
      </c>
      <c r="K59" s="188" t="s">
        <v>27</v>
      </c>
      <c r="L59" s="188"/>
      <c r="M59" s="188"/>
      <c r="N59" s="93">
        <f>SUM(K58:M58)</f>
        <v>264841.65792906954</v>
      </c>
      <c r="O59" s="184" t="s">
        <v>28</v>
      </c>
      <c r="P59" s="184"/>
      <c r="Q59" s="184"/>
      <c r="R59" s="104">
        <f>SUM(O58:Q58)</f>
        <v>279864.6397541</v>
      </c>
    </row>
    <row r="60" spans="2:19" s="78" customFormat="1" ht="25.5" customHeight="1" x14ac:dyDescent="0.4">
      <c r="B60" s="180" t="s">
        <v>30</v>
      </c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</row>
    <row r="61" spans="2:19" ht="17.100000000000001" customHeight="1" x14ac:dyDescent="0.25">
      <c r="B61" s="1" t="s">
        <v>30</v>
      </c>
      <c r="C61" s="2">
        <v>44378</v>
      </c>
      <c r="D61" s="108">
        <v>44429</v>
      </c>
      <c r="E61" s="2">
        <v>44440</v>
      </c>
      <c r="F61" s="185">
        <v>17</v>
      </c>
      <c r="G61" s="19">
        <v>44470</v>
      </c>
      <c r="H61" s="16">
        <v>44501</v>
      </c>
      <c r="I61" s="2">
        <v>44531</v>
      </c>
      <c r="J61" s="185" t="s">
        <v>19</v>
      </c>
      <c r="K61" s="2">
        <v>44562</v>
      </c>
      <c r="L61" s="2">
        <v>44593</v>
      </c>
      <c r="M61" s="2">
        <v>44621</v>
      </c>
      <c r="N61" s="185" t="s">
        <v>24</v>
      </c>
      <c r="O61" s="2">
        <v>44652</v>
      </c>
      <c r="P61" s="2">
        <v>44682</v>
      </c>
      <c r="Q61" s="2">
        <v>44713</v>
      </c>
      <c r="R61" s="185" t="s">
        <v>26</v>
      </c>
      <c r="S61" s="3"/>
    </row>
    <row r="62" spans="2:19" ht="17.100000000000001" customHeight="1" x14ac:dyDescent="0.25">
      <c r="B62" s="4" t="s">
        <v>1</v>
      </c>
      <c r="C62" s="5">
        <v>10558</v>
      </c>
      <c r="D62" s="109">
        <v>14283</v>
      </c>
      <c r="E62" s="83">
        <v>17957</v>
      </c>
      <c r="F62" s="186"/>
      <c r="G62" s="20">
        <v>17126</v>
      </c>
      <c r="H62" s="107">
        <v>14634</v>
      </c>
      <c r="I62" s="75">
        <v>11456</v>
      </c>
      <c r="J62" s="186"/>
      <c r="K62" s="5">
        <v>11175</v>
      </c>
      <c r="L62" s="70">
        <v>13723</v>
      </c>
      <c r="M62" s="5">
        <v>13309</v>
      </c>
      <c r="N62" s="186"/>
      <c r="O62" s="75">
        <v>14877</v>
      </c>
      <c r="P62" s="5">
        <v>11238</v>
      </c>
      <c r="Q62" s="92">
        <v>10828</v>
      </c>
      <c r="R62" s="186"/>
      <c r="S62" s="5">
        <f>SUM(C62:Q62)</f>
        <v>161164</v>
      </c>
    </row>
    <row r="63" spans="2:19" ht="17.100000000000001" customHeight="1" x14ac:dyDescent="0.25">
      <c r="B63" s="6" t="s">
        <v>2</v>
      </c>
      <c r="C63" s="111">
        <v>2427</v>
      </c>
      <c r="D63" s="111">
        <v>2626</v>
      </c>
      <c r="E63" s="112">
        <v>2891</v>
      </c>
      <c r="F63" s="186"/>
      <c r="G63" s="113">
        <v>2741</v>
      </c>
      <c r="H63" s="113">
        <v>2341</v>
      </c>
      <c r="I63" s="113">
        <v>2605</v>
      </c>
      <c r="J63" s="186"/>
      <c r="K63" s="114">
        <v>1749</v>
      </c>
      <c r="L63" s="114">
        <v>2375</v>
      </c>
      <c r="M63" s="114">
        <v>3028</v>
      </c>
      <c r="N63" s="186"/>
      <c r="O63" s="153">
        <v>2717</v>
      </c>
      <c r="P63" s="154">
        <v>2142</v>
      </c>
      <c r="Q63" s="154">
        <v>2222</v>
      </c>
      <c r="R63" s="186"/>
      <c r="S63" s="10">
        <f t="shared" ref="S63:S76" si="14">SUM(C63:Q63)</f>
        <v>29864</v>
      </c>
    </row>
    <row r="64" spans="2:19" ht="17.100000000000001" customHeight="1" x14ac:dyDescent="0.25">
      <c r="B64" s="6" t="s">
        <v>3</v>
      </c>
      <c r="C64" s="111">
        <f>3919+959</f>
        <v>4878</v>
      </c>
      <c r="D64" s="111">
        <v>5013</v>
      </c>
      <c r="E64" s="112">
        <v>4991</v>
      </c>
      <c r="F64" s="186"/>
      <c r="G64" s="113">
        <v>4865</v>
      </c>
      <c r="H64" s="113">
        <v>4670</v>
      </c>
      <c r="I64" s="113">
        <v>4369</v>
      </c>
      <c r="J64" s="186"/>
      <c r="K64" s="114">
        <v>3919</v>
      </c>
      <c r="L64" s="114">
        <v>4912</v>
      </c>
      <c r="M64" s="114">
        <v>5245</v>
      </c>
      <c r="N64" s="186"/>
      <c r="O64" s="153">
        <v>5332</v>
      </c>
      <c r="P64" s="154">
        <v>4655</v>
      </c>
      <c r="Q64" s="154">
        <v>5339</v>
      </c>
      <c r="R64" s="186"/>
      <c r="S64" s="10">
        <f t="shared" si="14"/>
        <v>58188</v>
      </c>
    </row>
    <row r="65" spans="2:20" ht="17.100000000000001" customHeight="1" x14ac:dyDescent="0.25">
      <c r="B65" s="6" t="s">
        <v>4</v>
      </c>
      <c r="C65" s="111">
        <f>1302+5971</f>
        <v>7273</v>
      </c>
      <c r="D65" s="111">
        <v>6901</v>
      </c>
      <c r="E65" s="112">
        <v>7355</v>
      </c>
      <c r="F65" s="186"/>
      <c r="G65" s="113">
        <v>7223</v>
      </c>
      <c r="H65" s="113">
        <v>6652</v>
      </c>
      <c r="I65" s="113">
        <v>6615</v>
      </c>
      <c r="J65" s="186"/>
      <c r="K65" s="114">
        <v>5946</v>
      </c>
      <c r="L65" s="114">
        <v>6403</v>
      </c>
      <c r="M65" s="114">
        <v>7409</v>
      </c>
      <c r="N65" s="186"/>
      <c r="O65" s="153">
        <v>7657</v>
      </c>
      <c r="P65" s="154">
        <v>7514</v>
      </c>
      <c r="Q65" s="154">
        <v>8714</v>
      </c>
      <c r="R65" s="186"/>
      <c r="S65" s="10">
        <f t="shared" si="14"/>
        <v>85662</v>
      </c>
    </row>
    <row r="66" spans="2:20" ht="17.100000000000001" customHeight="1" x14ac:dyDescent="0.25">
      <c r="B66" s="6" t="s">
        <v>5</v>
      </c>
      <c r="C66" s="111">
        <f>445+3786</f>
        <v>4231</v>
      </c>
      <c r="D66" s="111">
        <v>4920</v>
      </c>
      <c r="E66" s="112">
        <v>5091</v>
      </c>
      <c r="F66" s="186"/>
      <c r="G66" s="113">
        <v>5219</v>
      </c>
      <c r="H66" s="113">
        <v>4775</v>
      </c>
      <c r="I66" s="113">
        <v>4417</v>
      </c>
      <c r="J66" s="186"/>
      <c r="K66" s="114">
        <v>5269</v>
      </c>
      <c r="L66" s="114">
        <v>5195</v>
      </c>
      <c r="M66" s="114">
        <v>5723</v>
      </c>
      <c r="N66" s="186"/>
      <c r="O66" s="153">
        <v>5576</v>
      </c>
      <c r="P66" s="154">
        <v>4822</v>
      </c>
      <c r="Q66" s="154">
        <v>5341</v>
      </c>
      <c r="R66" s="186"/>
      <c r="S66" s="10">
        <f t="shared" si="14"/>
        <v>60579</v>
      </c>
    </row>
    <row r="67" spans="2:20" ht="17.100000000000001" customHeight="1" x14ac:dyDescent="0.25">
      <c r="B67" s="6" t="s">
        <v>6</v>
      </c>
      <c r="C67" s="111">
        <f>12348+2876</f>
        <v>15224</v>
      </c>
      <c r="D67" s="111">
        <v>15940</v>
      </c>
      <c r="E67" s="112">
        <v>16313</v>
      </c>
      <c r="F67" s="186"/>
      <c r="G67" s="113">
        <v>15866</v>
      </c>
      <c r="H67" s="113">
        <v>15248</v>
      </c>
      <c r="I67" s="113">
        <v>15110</v>
      </c>
      <c r="J67" s="186"/>
      <c r="K67" s="114">
        <v>13722</v>
      </c>
      <c r="L67" s="114">
        <v>13648</v>
      </c>
      <c r="M67" s="114">
        <v>15910</v>
      </c>
      <c r="N67" s="186"/>
      <c r="O67" s="153">
        <v>16958</v>
      </c>
      <c r="P67" s="154">
        <v>17393</v>
      </c>
      <c r="Q67" s="154">
        <v>15686</v>
      </c>
      <c r="R67" s="186"/>
      <c r="S67" s="10">
        <f t="shared" si="14"/>
        <v>187018</v>
      </c>
    </row>
    <row r="68" spans="2:20" ht="17.100000000000001" customHeight="1" x14ac:dyDescent="0.25">
      <c r="B68" s="6" t="s">
        <v>7</v>
      </c>
      <c r="C68" s="111">
        <f>602+4180</f>
        <v>4782</v>
      </c>
      <c r="D68" s="111">
        <v>5238</v>
      </c>
      <c r="E68" s="112">
        <v>5315</v>
      </c>
      <c r="F68" s="186"/>
      <c r="G68" s="113">
        <v>5004</v>
      </c>
      <c r="H68" s="113">
        <v>4608</v>
      </c>
      <c r="I68" s="113">
        <v>4709</v>
      </c>
      <c r="J68" s="186"/>
      <c r="K68" s="114">
        <v>4537</v>
      </c>
      <c r="L68" s="114">
        <v>4736</v>
      </c>
      <c r="M68" s="114">
        <v>5406</v>
      </c>
      <c r="N68" s="186"/>
      <c r="O68" s="153">
        <v>4777</v>
      </c>
      <c r="P68" s="154">
        <v>4340</v>
      </c>
      <c r="Q68" s="154">
        <v>5230</v>
      </c>
      <c r="R68" s="186"/>
      <c r="S68" s="10">
        <f t="shared" si="14"/>
        <v>58682</v>
      </c>
    </row>
    <row r="69" spans="2:20" ht="17.100000000000001" customHeight="1" x14ac:dyDescent="0.25">
      <c r="B69" s="6" t="s">
        <v>8</v>
      </c>
      <c r="C69" s="111">
        <v>23547</v>
      </c>
      <c r="D69" s="111">
        <v>27683</v>
      </c>
      <c r="E69" s="112">
        <v>30608</v>
      </c>
      <c r="F69" s="186"/>
      <c r="G69" s="113">
        <v>30157</v>
      </c>
      <c r="H69" s="113">
        <v>26326</v>
      </c>
      <c r="I69" s="113">
        <v>25270</v>
      </c>
      <c r="J69" s="186"/>
      <c r="K69" s="114">
        <v>24498</v>
      </c>
      <c r="L69" s="114">
        <v>25327</v>
      </c>
      <c r="M69" s="114">
        <v>28130</v>
      </c>
      <c r="N69" s="186"/>
      <c r="O69" s="153">
        <v>27700</v>
      </c>
      <c r="P69" s="154">
        <v>24440</v>
      </c>
      <c r="Q69" s="154">
        <v>26120</v>
      </c>
      <c r="R69" s="186"/>
      <c r="S69" s="10">
        <f t="shared" si="14"/>
        <v>319806</v>
      </c>
    </row>
    <row r="70" spans="2:20" ht="17.100000000000001" customHeight="1" x14ac:dyDescent="0.25">
      <c r="B70" s="6" t="s">
        <v>9</v>
      </c>
      <c r="C70" s="111">
        <f>840+4709</f>
        <v>5549</v>
      </c>
      <c r="D70" s="111">
        <v>5631</v>
      </c>
      <c r="E70" s="112">
        <v>5845</v>
      </c>
      <c r="F70" s="186"/>
      <c r="G70" s="113">
        <v>5754</v>
      </c>
      <c r="H70" s="113">
        <v>5532</v>
      </c>
      <c r="I70" s="113">
        <v>5311</v>
      </c>
      <c r="J70" s="186"/>
      <c r="K70" s="114">
        <v>5441</v>
      </c>
      <c r="L70" s="114">
        <v>5610</v>
      </c>
      <c r="M70" s="114">
        <v>6466</v>
      </c>
      <c r="N70" s="186"/>
      <c r="O70" s="153">
        <v>6359</v>
      </c>
      <c r="P70" s="154">
        <v>6412</v>
      </c>
      <c r="Q70" s="154">
        <v>6730</v>
      </c>
      <c r="R70" s="186"/>
      <c r="S70" s="10">
        <f t="shared" si="14"/>
        <v>70640</v>
      </c>
    </row>
    <row r="71" spans="2:20" ht="17.100000000000001" customHeight="1" x14ac:dyDescent="0.25">
      <c r="B71" s="6" t="s">
        <v>10</v>
      </c>
      <c r="C71" s="111">
        <v>1424</v>
      </c>
      <c r="D71" s="111">
        <v>1204</v>
      </c>
      <c r="E71" s="111">
        <v>2063</v>
      </c>
      <c r="F71" s="186"/>
      <c r="G71" s="113">
        <v>1502</v>
      </c>
      <c r="H71" s="113">
        <v>1356</v>
      </c>
      <c r="I71" s="113">
        <v>1469</v>
      </c>
      <c r="J71" s="186"/>
      <c r="K71" s="114">
        <v>1360</v>
      </c>
      <c r="L71" s="114">
        <v>1645</v>
      </c>
      <c r="M71" s="114">
        <v>1664</v>
      </c>
      <c r="N71" s="186"/>
      <c r="O71" s="153">
        <v>1437</v>
      </c>
      <c r="P71" s="154">
        <v>1841</v>
      </c>
      <c r="Q71" s="154">
        <v>1391</v>
      </c>
      <c r="R71" s="186"/>
      <c r="S71" s="10">
        <f t="shared" si="14"/>
        <v>18356</v>
      </c>
    </row>
    <row r="72" spans="2:20" ht="17.100000000000001" customHeight="1" x14ac:dyDescent="0.25">
      <c r="B72" s="6" t="s">
        <v>11</v>
      </c>
      <c r="C72" s="111">
        <f>754+3885</f>
        <v>4639</v>
      </c>
      <c r="D72" s="111">
        <v>4879</v>
      </c>
      <c r="E72" s="112">
        <v>4845</v>
      </c>
      <c r="F72" s="186"/>
      <c r="G72" s="113">
        <v>4769</v>
      </c>
      <c r="H72" s="113">
        <v>4362</v>
      </c>
      <c r="I72" s="113">
        <v>4315</v>
      </c>
      <c r="J72" s="186"/>
      <c r="K72" s="114">
        <v>3885</v>
      </c>
      <c r="L72" s="114">
        <v>4166</v>
      </c>
      <c r="M72" s="114">
        <v>4904</v>
      </c>
      <c r="N72" s="186"/>
      <c r="O72" s="153">
        <v>4852</v>
      </c>
      <c r="P72" s="154">
        <v>4638</v>
      </c>
      <c r="Q72" s="154">
        <v>5302</v>
      </c>
      <c r="R72" s="186"/>
      <c r="S72" s="10">
        <f t="shared" si="14"/>
        <v>55556</v>
      </c>
    </row>
    <row r="73" spans="2:20" ht="17.100000000000001" customHeight="1" x14ac:dyDescent="0.25">
      <c r="B73" s="6" t="s">
        <v>12</v>
      </c>
      <c r="C73" s="111">
        <f>563+3414</f>
        <v>3977</v>
      </c>
      <c r="D73" s="111">
        <v>4026</v>
      </c>
      <c r="E73" s="112">
        <v>3941</v>
      </c>
      <c r="F73" s="186"/>
      <c r="G73" s="113">
        <v>4236</v>
      </c>
      <c r="H73" s="113">
        <v>4287</v>
      </c>
      <c r="I73" s="113">
        <v>4365</v>
      </c>
      <c r="J73" s="186"/>
      <c r="K73" s="114">
        <v>3319</v>
      </c>
      <c r="L73" s="114">
        <v>4231</v>
      </c>
      <c r="M73" s="114">
        <v>4791</v>
      </c>
      <c r="N73" s="186"/>
      <c r="O73" s="153">
        <v>4762</v>
      </c>
      <c r="P73" s="154">
        <v>4331</v>
      </c>
      <c r="Q73" s="154">
        <v>4733</v>
      </c>
      <c r="R73" s="186"/>
      <c r="S73" s="10">
        <f t="shared" si="14"/>
        <v>50999</v>
      </c>
    </row>
    <row r="74" spans="2:20" ht="17.100000000000001" customHeight="1" x14ac:dyDescent="0.25">
      <c r="B74" s="6" t="s">
        <v>13</v>
      </c>
      <c r="C74" s="7"/>
      <c r="D74" s="110"/>
      <c r="E74" s="85"/>
      <c r="F74" s="186"/>
      <c r="G74" s="21"/>
      <c r="H74" s="86"/>
      <c r="I74" s="76"/>
      <c r="J74" s="186"/>
      <c r="K74" s="9"/>
      <c r="L74" s="7"/>
      <c r="M74" s="7"/>
      <c r="N74" s="186"/>
      <c r="O74" s="76"/>
      <c r="P74" s="7"/>
      <c r="Q74" s="85"/>
      <c r="R74" s="186"/>
      <c r="S74" s="10">
        <f t="shared" si="14"/>
        <v>0</v>
      </c>
    </row>
    <row r="75" spans="2:20" ht="17.100000000000001" customHeight="1" x14ac:dyDescent="0.25">
      <c r="B75" s="6" t="s">
        <v>14</v>
      </c>
      <c r="C75" s="7"/>
      <c r="D75" s="7"/>
      <c r="E75" s="85"/>
      <c r="F75" s="186"/>
      <c r="G75" s="21"/>
      <c r="H75" s="86"/>
      <c r="I75" s="76"/>
      <c r="J75" s="186"/>
      <c r="K75" s="9"/>
      <c r="L75" s="71"/>
      <c r="M75" s="7"/>
      <c r="N75" s="186"/>
      <c r="O75" s="76"/>
      <c r="P75" s="7"/>
      <c r="Q75" s="7"/>
      <c r="R75" s="186"/>
      <c r="S75" s="10">
        <f t="shared" si="14"/>
        <v>0</v>
      </c>
    </row>
    <row r="76" spans="2:20" ht="17.100000000000001" customHeight="1" x14ac:dyDescent="0.25">
      <c r="B76" s="23" t="s">
        <v>15</v>
      </c>
      <c r="C76" s="13">
        <f t="shared" ref="C76" si="15">SUM(C62:C75)</f>
        <v>88509</v>
      </c>
      <c r="D76" s="7">
        <f>SUM(D62:D75)</f>
        <v>98344</v>
      </c>
      <c r="E76" s="85">
        <f>SUM(E62:E75)</f>
        <v>107215</v>
      </c>
      <c r="F76" s="187"/>
      <c r="G76" s="85">
        <f t="shared" ref="G76:I76" si="16">SUM(G62:G75)</f>
        <v>104462</v>
      </c>
      <c r="H76" s="85">
        <f t="shared" si="16"/>
        <v>94791</v>
      </c>
      <c r="I76" s="85">
        <f t="shared" si="16"/>
        <v>90011</v>
      </c>
      <c r="J76" s="187"/>
      <c r="K76" s="85">
        <f t="shared" ref="K76:M76" si="17">SUM(K62:K75)</f>
        <v>84820</v>
      </c>
      <c r="L76" s="85">
        <f t="shared" si="17"/>
        <v>91971</v>
      </c>
      <c r="M76" s="85">
        <f t="shared" si="17"/>
        <v>101985</v>
      </c>
      <c r="N76" s="187"/>
      <c r="O76" s="85">
        <f t="shared" ref="O76:Q76" si="18">SUM(O62:O75)</f>
        <v>103004</v>
      </c>
      <c r="P76" s="85">
        <f t="shared" si="18"/>
        <v>93766</v>
      </c>
      <c r="Q76" s="85">
        <f t="shared" si="18"/>
        <v>97636</v>
      </c>
      <c r="R76" s="187"/>
      <c r="S76" s="53">
        <f t="shared" si="14"/>
        <v>1156514</v>
      </c>
      <c r="T76" s="78"/>
    </row>
    <row r="77" spans="2:20" ht="18" customHeight="1" x14ac:dyDescent="0.25">
      <c r="D77" s="181" t="s">
        <v>25</v>
      </c>
      <c r="E77" s="181"/>
      <c r="F77" s="34">
        <f>SUM(C76:E76)</f>
        <v>294068</v>
      </c>
      <c r="G77" s="182" t="s">
        <v>20</v>
      </c>
      <c r="H77" s="182"/>
      <c r="I77" s="182"/>
      <c r="J77" s="55">
        <f>SUM(G76:I76)</f>
        <v>289264</v>
      </c>
      <c r="K77" s="183" t="s">
        <v>27</v>
      </c>
      <c r="L77" s="183"/>
      <c r="M77" s="183"/>
      <c r="N77" s="147">
        <f>SUM(K76:M76)</f>
        <v>278776</v>
      </c>
      <c r="O77" s="184" t="s">
        <v>28</v>
      </c>
      <c r="P77" s="184"/>
      <c r="Q77" s="184"/>
      <c r="R77" s="58">
        <f>SUM(O76:Q76)</f>
        <v>294406</v>
      </c>
    </row>
    <row r="78" spans="2:20" ht="18" customHeight="1" x14ac:dyDescent="0.5"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</row>
    <row r="79" spans="2:20" ht="30.75" customHeight="1" x14ac:dyDescent="0.4">
      <c r="B79" s="180" t="s">
        <v>31</v>
      </c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</row>
    <row r="80" spans="2:20" x14ac:dyDescent="0.25">
      <c r="B80" s="79" t="s">
        <v>29</v>
      </c>
      <c r="C80" s="80">
        <v>44013</v>
      </c>
      <c r="D80" s="80">
        <v>44044</v>
      </c>
      <c r="E80" s="80">
        <v>44075</v>
      </c>
      <c r="F80" s="185" t="s">
        <v>18</v>
      </c>
      <c r="G80" s="95">
        <v>44105</v>
      </c>
      <c r="H80" s="94">
        <v>44136</v>
      </c>
      <c r="I80" s="80">
        <v>44166</v>
      </c>
      <c r="J80" s="185" t="s">
        <v>19</v>
      </c>
      <c r="K80" s="80">
        <v>44197</v>
      </c>
      <c r="L80" s="80">
        <v>44228</v>
      </c>
      <c r="M80" s="80">
        <v>44256</v>
      </c>
      <c r="N80" s="185" t="s">
        <v>24</v>
      </c>
      <c r="O80" s="80">
        <v>44287</v>
      </c>
      <c r="P80" s="80">
        <v>44317</v>
      </c>
      <c r="Q80" s="80">
        <v>44348</v>
      </c>
      <c r="R80" s="185" t="s">
        <v>26</v>
      </c>
      <c r="S80" s="81"/>
    </row>
    <row r="81" spans="2:22" x14ac:dyDescent="0.25">
      <c r="B81" s="82" t="s">
        <v>1</v>
      </c>
      <c r="C81" s="83">
        <v>3212</v>
      </c>
      <c r="D81" s="83">
        <v>4747</v>
      </c>
      <c r="E81" s="83">
        <v>3793</v>
      </c>
      <c r="F81" s="186"/>
      <c r="G81" s="83">
        <f>5675+354</f>
        <v>6029</v>
      </c>
      <c r="H81" s="107">
        <f>3543+136</f>
        <v>3679</v>
      </c>
      <c r="I81" s="83">
        <f>3557+71</f>
        <v>3628</v>
      </c>
      <c r="J81" s="186"/>
      <c r="K81" s="83">
        <v>3614</v>
      </c>
      <c r="L81" s="83">
        <f>2125+102</f>
        <v>2227</v>
      </c>
      <c r="M81" s="92">
        <f>2297+114</f>
        <v>2411</v>
      </c>
      <c r="N81" s="186"/>
      <c r="O81" s="83">
        <f>3619+54</f>
        <v>3673</v>
      </c>
      <c r="P81" s="83">
        <f>1425+579</f>
        <v>2004</v>
      </c>
      <c r="Q81" s="92">
        <f>3078+207</f>
        <v>3285</v>
      </c>
      <c r="R81" s="186"/>
      <c r="S81" s="83">
        <f>SUM(C81:Q81)</f>
        <v>42302</v>
      </c>
    </row>
    <row r="82" spans="2:22" x14ac:dyDescent="0.25">
      <c r="B82" s="84" t="s">
        <v>2</v>
      </c>
      <c r="C82" s="149">
        <v>955</v>
      </c>
      <c r="D82" s="149">
        <v>954</v>
      </c>
      <c r="E82" s="134">
        <v>1053</v>
      </c>
      <c r="F82" s="186"/>
      <c r="G82" s="150">
        <f>849+22</f>
        <v>871</v>
      </c>
      <c r="H82" s="151">
        <v>846</v>
      </c>
      <c r="I82" s="150">
        <v>878</v>
      </c>
      <c r="J82" s="186"/>
      <c r="K82" s="157">
        <v>1027</v>
      </c>
      <c r="L82" s="157">
        <f>741+31</f>
        <v>772</v>
      </c>
      <c r="M82" s="157">
        <v>1499</v>
      </c>
      <c r="N82" s="186"/>
      <c r="O82" s="154">
        <v>1183</v>
      </c>
      <c r="P82" s="154">
        <f>867</f>
        <v>867</v>
      </c>
      <c r="Q82" s="154">
        <v>1310</v>
      </c>
      <c r="R82" s="186"/>
      <c r="S82" s="88">
        <f t="shared" ref="S82:S95" si="19">SUM(C82:Q82)</f>
        <v>12215</v>
      </c>
    </row>
    <row r="83" spans="2:22" x14ac:dyDescent="0.25">
      <c r="B83" s="84" t="s">
        <v>3</v>
      </c>
      <c r="C83" s="149">
        <v>5601</v>
      </c>
      <c r="D83" s="149">
        <v>4538</v>
      </c>
      <c r="E83" s="149">
        <f>54+3948</f>
        <v>4002</v>
      </c>
      <c r="F83" s="186"/>
      <c r="G83" s="150">
        <f>4607+122</f>
        <v>4729</v>
      </c>
      <c r="H83" s="151">
        <v>5380</v>
      </c>
      <c r="I83" s="150">
        <v>5943</v>
      </c>
      <c r="J83" s="186"/>
      <c r="K83" s="157">
        <v>6746</v>
      </c>
      <c r="L83" s="157">
        <f>5755+150</f>
        <v>5905</v>
      </c>
      <c r="M83" s="157">
        <v>7036</v>
      </c>
      <c r="N83" s="186"/>
      <c r="O83" s="154">
        <v>3078</v>
      </c>
      <c r="P83" s="154">
        <f>5092+128</f>
        <v>5220</v>
      </c>
      <c r="Q83" s="154">
        <v>4142</v>
      </c>
      <c r="R83" s="186"/>
      <c r="S83" s="88">
        <f t="shared" si="19"/>
        <v>62320</v>
      </c>
    </row>
    <row r="84" spans="2:22" x14ac:dyDescent="0.25">
      <c r="B84" s="84" t="s">
        <v>4</v>
      </c>
      <c r="C84" s="149">
        <v>5483</v>
      </c>
      <c r="D84" s="149">
        <v>4707</v>
      </c>
      <c r="E84" s="149">
        <v>5180</v>
      </c>
      <c r="F84" s="186"/>
      <c r="G84" s="150">
        <f>4953+298</f>
        <v>5251</v>
      </c>
      <c r="H84" s="151">
        <v>4290</v>
      </c>
      <c r="I84" s="150">
        <v>2361</v>
      </c>
      <c r="J84" s="186"/>
      <c r="K84" s="157">
        <v>2541</v>
      </c>
      <c r="L84" s="157">
        <f>2361+207</f>
        <v>2568</v>
      </c>
      <c r="M84" s="157">
        <f>5434+446</f>
        <v>5880</v>
      </c>
      <c r="N84" s="186"/>
      <c r="O84" s="154">
        <v>4821</v>
      </c>
      <c r="P84" s="154">
        <f>5496+128</f>
        <v>5624</v>
      </c>
      <c r="Q84" s="154">
        <v>5699</v>
      </c>
      <c r="R84" s="186"/>
      <c r="S84" s="88">
        <f t="shared" si="19"/>
        <v>54405</v>
      </c>
    </row>
    <row r="85" spans="2:22" x14ac:dyDescent="0.25">
      <c r="B85" s="84" t="s">
        <v>5</v>
      </c>
      <c r="C85" s="149">
        <v>2376</v>
      </c>
      <c r="D85" s="149">
        <v>2601</v>
      </c>
      <c r="E85" s="149">
        <v>2847</v>
      </c>
      <c r="F85" s="186"/>
      <c r="G85" s="150">
        <f>1983+399</f>
        <v>2382</v>
      </c>
      <c r="H85" s="151">
        <v>1462</v>
      </c>
      <c r="I85" s="150">
        <v>2635</v>
      </c>
      <c r="J85" s="186"/>
      <c r="K85" s="157">
        <v>2295</v>
      </c>
      <c r="L85" s="157">
        <v>2710</v>
      </c>
      <c r="M85" s="157">
        <v>3136</v>
      </c>
      <c r="N85" s="186"/>
      <c r="O85" s="154">
        <v>3270</v>
      </c>
      <c r="P85" s="154">
        <v>2275</v>
      </c>
      <c r="Q85" s="154">
        <v>3206</v>
      </c>
      <c r="R85" s="186"/>
      <c r="S85" s="88">
        <f t="shared" si="19"/>
        <v>31195</v>
      </c>
    </row>
    <row r="86" spans="2:22" x14ac:dyDescent="0.25">
      <c r="B86" s="84" t="s">
        <v>6</v>
      </c>
      <c r="C86" s="149">
        <v>8402</v>
      </c>
      <c r="D86" s="134">
        <v>8370</v>
      </c>
      <c r="E86" s="134">
        <v>8382</v>
      </c>
      <c r="F86" s="186"/>
      <c r="G86" s="150">
        <f>9296+351</f>
        <v>9647</v>
      </c>
      <c r="H86" s="151">
        <f>7365+537</f>
        <v>7902</v>
      </c>
      <c r="I86" s="150">
        <f>6561+73</f>
        <v>6634</v>
      </c>
      <c r="J86" s="186"/>
      <c r="K86" s="157">
        <v>6955</v>
      </c>
      <c r="L86" s="157">
        <f>4932+79</f>
        <v>5011</v>
      </c>
      <c r="M86" s="157">
        <f>5272+188</f>
        <v>5460</v>
      </c>
      <c r="N86" s="186"/>
      <c r="O86" s="154">
        <f>4793+1087</f>
        <v>5880</v>
      </c>
      <c r="P86" s="154">
        <f>6817+56</f>
        <v>6873</v>
      </c>
      <c r="Q86" s="154">
        <v>9338</v>
      </c>
      <c r="R86" s="186"/>
      <c r="S86" s="88">
        <f t="shared" si="19"/>
        <v>88854</v>
      </c>
    </row>
    <row r="87" spans="2:22" x14ac:dyDescent="0.25">
      <c r="B87" s="84" t="s">
        <v>7</v>
      </c>
      <c r="C87" s="149">
        <v>2685</v>
      </c>
      <c r="D87" s="149">
        <v>3599</v>
      </c>
      <c r="E87" s="149">
        <f>110+2790</f>
        <v>2900</v>
      </c>
      <c r="F87" s="186"/>
      <c r="G87" s="150">
        <f>2670+251</f>
        <v>2921</v>
      </c>
      <c r="H87" s="151">
        <f>2688+121</f>
        <v>2809</v>
      </c>
      <c r="I87" s="150">
        <v>2432</v>
      </c>
      <c r="J87" s="186"/>
      <c r="K87" s="157">
        <v>3236</v>
      </c>
      <c r="L87" s="157">
        <f>643+161</f>
        <v>804</v>
      </c>
      <c r="M87" s="157">
        <v>3631</v>
      </c>
      <c r="N87" s="186"/>
      <c r="O87" s="154">
        <v>3334</v>
      </c>
      <c r="P87" s="154">
        <v>2969</v>
      </c>
      <c r="Q87" s="154">
        <v>2997</v>
      </c>
      <c r="R87" s="186"/>
      <c r="S87" s="88">
        <f t="shared" si="19"/>
        <v>34317</v>
      </c>
    </row>
    <row r="88" spans="2:22" x14ac:dyDescent="0.25">
      <c r="B88" s="84" t="s">
        <v>8</v>
      </c>
      <c r="C88" s="149">
        <v>15661</v>
      </c>
      <c r="D88" s="149">
        <v>16149</v>
      </c>
      <c r="E88" s="149">
        <f>30+17644</f>
        <v>17674</v>
      </c>
      <c r="F88" s="186"/>
      <c r="G88" s="150">
        <v>18594</v>
      </c>
      <c r="H88" s="140">
        <f>649+16955</f>
        <v>17604</v>
      </c>
      <c r="I88" s="140">
        <f>15913+300</f>
        <v>16213</v>
      </c>
      <c r="J88" s="186"/>
      <c r="K88" s="157">
        <f>13283+156</f>
        <v>13439</v>
      </c>
      <c r="L88" s="157">
        <f>10056+604</f>
        <v>10660</v>
      </c>
      <c r="M88" s="142">
        <f>16012+562</f>
        <v>16574</v>
      </c>
      <c r="N88" s="186"/>
      <c r="O88" s="154">
        <f>14477+910</f>
        <v>15387</v>
      </c>
      <c r="P88" s="154">
        <f>11214+304</f>
        <v>11518</v>
      </c>
      <c r="Q88" s="154">
        <v>18583</v>
      </c>
      <c r="R88" s="186"/>
      <c r="S88" s="88">
        <f t="shared" si="19"/>
        <v>188056</v>
      </c>
    </row>
    <row r="89" spans="2:22" x14ac:dyDescent="0.25">
      <c r="B89" s="84" t="s">
        <v>9</v>
      </c>
      <c r="C89" s="149">
        <v>3574</v>
      </c>
      <c r="D89" s="149">
        <v>3526</v>
      </c>
      <c r="E89" s="149">
        <v>3542</v>
      </c>
      <c r="F89" s="186"/>
      <c r="G89" s="150">
        <f>3033+64</f>
        <v>3097</v>
      </c>
      <c r="H89" s="150">
        <f>2763+276</f>
        <v>3039</v>
      </c>
      <c r="I89" s="150">
        <v>3602</v>
      </c>
      <c r="J89" s="186"/>
      <c r="K89" s="157">
        <v>2890</v>
      </c>
      <c r="L89" s="157">
        <v>3028</v>
      </c>
      <c r="M89" s="157">
        <v>4981</v>
      </c>
      <c r="N89" s="186"/>
      <c r="O89" s="154">
        <f>3022+326</f>
        <v>3348</v>
      </c>
      <c r="P89" s="154">
        <f>2896</f>
        <v>2896</v>
      </c>
      <c r="Q89" s="154">
        <v>3362</v>
      </c>
      <c r="R89" s="186"/>
      <c r="S89" s="88">
        <f t="shared" si="19"/>
        <v>40885</v>
      </c>
      <c r="V89" s="64"/>
    </row>
    <row r="90" spans="2:22" x14ac:dyDescent="0.25">
      <c r="B90" s="84" t="s">
        <v>10</v>
      </c>
      <c r="C90" s="149">
        <v>549</v>
      </c>
      <c r="D90" s="149">
        <v>839</v>
      </c>
      <c r="E90" s="149">
        <v>590</v>
      </c>
      <c r="F90" s="186"/>
      <c r="G90" s="150">
        <f>424+16</f>
        <v>440</v>
      </c>
      <c r="H90" s="151">
        <f>390+111</f>
        <v>501</v>
      </c>
      <c r="I90" s="150">
        <v>139</v>
      </c>
      <c r="J90" s="186"/>
      <c r="K90" s="157">
        <v>326</v>
      </c>
      <c r="L90" s="157">
        <v>488</v>
      </c>
      <c r="M90" s="157">
        <v>696</v>
      </c>
      <c r="N90" s="186"/>
      <c r="O90" s="154">
        <f>610+47</f>
        <v>657</v>
      </c>
      <c r="P90" s="154">
        <v>635</v>
      </c>
      <c r="Q90" s="154">
        <v>899</v>
      </c>
      <c r="R90" s="186"/>
      <c r="S90" s="88">
        <f t="shared" si="19"/>
        <v>6759</v>
      </c>
      <c r="V90" s="65"/>
    </row>
    <row r="91" spans="2:22" x14ac:dyDescent="0.25">
      <c r="B91" s="84" t="s">
        <v>11</v>
      </c>
      <c r="C91" s="149">
        <v>2358</v>
      </c>
      <c r="D91" s="149">
        <v>2789</v>
      </c>
      <c r="E91" s="149">
        <f>97+2544</f>
        <v>2641</v>
      </c>
      <c r="F91" s="186"/>
      <c r="G91" s="150">
        <f>2759+338</f>
        <v>3097</v>
      </c>
      <c r="H91" s="151">
        <f>2326+58</f>
        <v>2384</v>
      </c>
      <c r="I91" s="150">
        <f>2345+66</f>
        <v>2411</v>
      </c>
      <c r="J91" s="186"/>
      <c r="K91" s="157">
        <v>1908</v>
      </c>
      <c r="L91" s="157">
        <f>1416+133</f>
        <v>1549</v>
      </c>
      <c r="M91" s="157">
        <v>3211</v>
      </c>
      <c r="N91" s="186"/>
      <c r="O91" s="154">
        <f>2222+204</f>
        <v>2426</v>
      </c>
      <c r="P91" s="154">
        <v>1600</v>
      </c>
      <c r="Q91" s="154">
        <v>2640</v>
      </c>
      <c r="R91" s="186"/>
      <c r="S91" s="88">
        <f t="shared" si="19"/>
        <v>29014</v>
      </c>
      <c r="V91" s="65"/>
    </row>
    <row r="92" spans="2:22" x14ac:dyDescent="0.25">
      <c r="B92" s="84" t="s">
        <v>12</v>
      </c>
      <c r="C92" s="149">
        <f>2471+96</f>
        <v>2567</v>
      </c>
      <c r="D92" s="149">
        <f>2436+115</f>
        <v>2551</v>
      </c>
      <c r="E92" s="149">
        <f>244+2257</f>
        <v>2501</v>
      </c>
      <c r="F92" s="186"/>
      <c r="G92" s="150">
        <f>1775+94</f>
        <v>1869</v>
      </c>
      <c r="H92" s="151">
        <v>1813</v>
      </c>
      <c r="I92" s="150">
        <f>2554+152</f>
        <v>2706</v>
      </c>
      <c r="J92" s="186"/>
      <c r="K92" s="157">
        <f>1000+119</f>
        <v>1119</v>
      </c>
      <c r="L92" s="157">
        <v>657</v>
      </c>
      <c r="M92" s="157">
        <v>2512</v>
      </c>
      <c r="N92" s="186"/>
      <c r="O92" s="154">
        <v>3111</v>
      </c>
      <c r="P92" s="154">
        <f>2312+360</f>
        <v>2672</v>
      </c>
      <c r="Q92" s="154">
        <v>2551</v>
      </c>
      <c r="R92" s="186"/>
      <c r="S92" s="88">
        <f t="shared" si="19"/>
        <v>26629</v>
      </c>
      <c r="V92" s="65"/>
    </row>
    <row r="93" spans="2:22" x14ac:dyDescent="0.25">
      <c r="B93" s="84" t="s">
        <v>13</v>
      </c>
      <c r="C93" s="149"/>
      <c r="D93" s="149"/>
      <c r="E93" s="149">
        <v>24</v>
      </c>
      <c r="F93" s="186"/>
      <c r="G93" s="85"/>
      <c r="H93" s="86"/>
      <c r="I93" s="85">
        <v>5</v>
      </c>
      <c r="J93" s="186"/>
      <c r="K93" s="87"/>
      <c r="L93" s="85"/>
      <c r="M93" s="85"/>
      <c r="N93" s="186"/>
      <c r="O93" s="85"/>
      <c r="P93" s="85"/>
      <c r="Q93" s="85"/>
      <c r="R93" s="186"/>
      <c r="S93" s="88">
        <f t="shared" si="19"/>
        <v>29</v>
      </c>
      <c r="V93" s="65"/>
    </row>
    <row r="94" spans="2:22" x14ac:dyDescent="0.25">
      <c r="B94" s="84" t="s">
        <v>14</v>
      </c>
      <c r="C94" s="85">
        <v>30</v>
      </c>
      <c r="D94" s="85"/>
      <c r="E94" s="85"/>
      <c r="F94" s="186"/>
      <c r="G94" s="96"/>
      <c r="H94" s="86"/>
      <c r="I94" s="85"/>
      <c r="J94" s="186"/>
      <c r="K94" s="87"/>
      <c r="L94" s="105"/>
      <c r="M94" s="85"/>
      <c r="N94" s="186"/>
      <c r="O94" s="106"/>
      <c r="P94" s="85"/>
      <c r="Q94" s="85"/>
      <c r="R94" s="186"/>
      <c r="S94" s="88">
        <f t="shared" si="19"/>
        <v>30</v>
      </c>
      <c r="V94" s="65"/>
    </row>
    <row r="95" spans="2:22" s="74" customFormat="1" x14ac:dyDescent="0.25">
      <c r="B95" s="98" t="s">
        <v>15</v>
      </c>
      <c r="C95" s="91">
        <f t="shared" ref="C95:E95" si="20">SUM(C81:C94)</f>
        <v>53453</v>
      </c>
      <c r="D95" s="85">
        <f t="shared" si="20"/>
        <v>55370</v>
      </c>
      <c r="E95" s="97">
        <f t="shared" si="20"/>
        <v>55129</v>
      </c>
      <c r="F95" s="187"/>
      <c r="G95" s="99">
        <f t="shared" ref="G95:I95" si="21">SUM(G81:G94)</f>
        <v>58927</v>
      </c>
      <c r="H95" s="100">
        <f t="shared" si="21"/>
        <v>51709</v>
      </c>
      <c r="I95" s="100">
        <f t="shared" si="21"/>
        <v>49587</v>
      </c>
      <c r="J95" s="187"/>
      <c r="K95" s="90">
        <f t="shared" ref="K95:M95" si="22">SUM(K81:K94)</f>
        <v>46096</v>
      </c>
      <c r="L95" s="90">
        <f t="shared" si="22"/>
        <v>36379</v>
      </c>
      <c r="M95" s="86">
        <f t="shared" si="22"/>
        <v>57027</v>
      </c>
      <c r="N95" s="187"/>
      <c r="O95" s="86">
        <f t="shared" ref="O95:P95" si="23">SUM(O81:O94)</f>
        <v>50168</v>
      </c>
      <c r="P95" s="86">
        <f t="shared" si="23"/>
        <v>45153</v>
      </c>
      <c r="Q95" s="86">
        <f>SUM(Q81:Q94)</f>
        <v>58012</v>
      </c>
      <c r="R95" s="187"/>
      <c r="S95" s="102">
        <f t="shared" si="19"/>
        <v>617010</v>
      </c>
      <c r="T95" s="78"/>
      <c r="U95" s="78"/>
      <c r="V95" s="65"/>
    </row>
    <row r="96" spans="2:22" x14ac:dyDescent="0.25">
      <c r="B96" s="78"/>
      <c r="C96" s="78"/>
      <c r="D96" s="181" t="s">
        <v>25</v>
      </c>
      <c r="E96" s="181"/>
      <c r="F96" s="101">
        <f>SUM(C95:E95)</f>
        <v>163952</v>
      </c>
      <c r="G96" s="182" t="s">
        <v>20</v>
      </c>
      <c r="H96" s="182"/>
      <c r="I96" s="182"/>
      <c r="J96" s="103">
        <f>SUM(G95:I95)</f>
        <v>160223</v>
      </c>
      <c r="K96" s="183" t="s">
        <v>27</v>
      </c>
      <c r="L96" s="183"/>
      <c r="M96" s="183"/>
      <c r="N96" s="147">
        <f>SUM(K95:M95)</f>
        <v>139502</v>
      </c>
      <c r="O96" s="184" t="s">
        <v>28</v>
      </c>
      <c r="P96" s="184"/>
      <c r="Q96" s="184"/>
      <c r="R96" s="104">
        <f>SUM(O95:Q95)</f>
        <v>153333</v>
      </c>
      <c r="S96" s="78"/>
      <c r="V96" s="65"/>
    </row>
    <row r="97" spans="2:22" ht="18" customHeight="1" x14ac:dyDescent="0.5"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</row>
    <row r="98" spans="2:22" ht="18" customHeight="1" x14ac:dyDescent="0.5"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</row>
    <row r="99" spans="2:22" ht="30.75" customHeight="1" x14ac:dyDescent="0.4">
      <c r="B99" s="180" t="s">
        <v>0</v>
      </c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</row>
    <row r="100" spans="2:22" x14ac:dyDescent="0.25">
      <c r="B100" s="1" t="s">
        <v>0</v>
      </c>
      <c r="C100" s="2">
        <v>43647</v>
      </c>
      <c r="D100" s="2">
        <v>43678</v>
      </c>
      <c r="E100" s="2">
        <v>43709</v>
      </c>
      <c r="F100" s="185" t="s">
        <v>18</v>
      </c>
      <c r="G100" s="19">
        <v>43739</v>
      </c>
      <c r="H100" s="16">
        <v>43770</v>
      </c>
      <c r="I100" s="2">
        <v>43800</v>
      </c>
      <c r="J100" s="185" t="s">
        <v>19</v>
      </c>
      <c r="K100" s="2">
        <v>43831</v>
      </c>
      <c r="L100" s="2">
        <v>43862</v>
      </c>
      <c r="M100" s="2">
        <v>43891</v>
      </c>
      <c r="N100" s="185" t="s">
        <v>24</v>
      </c>
      <c r="O100" s="2">
        <v>43922</v>
      </c>
      <c r="P100" s="2">
        <v>43952</v>
      </c>
      <c r="Q100" s="2">
        <v>43983</v>
      </c>
      <c r="R100" s="185" t="s">
        <v>26</v>
      </c>
      <c r="S100" s="3"/>
    </row>
    <row r="101" spans="2:22" x14ac:dyDescent="0.25">
      <c r="B101" s="4" t="s">
        <v>1</v>
      </c>
      <c r="C101" s="5">
        <v>41754</v>
      </c>
      <c r="D101" s="5">
        <v>43376</v>
      </c>
      <c r="E101" s="5">
        <v>62501</v>
      </c>
      <c r="F101" s="186"/>
      <c r="G101" s="20">
        <v>59799</v>
      </c>
      <c r="H101" s="17">
        <v>42127</v>
      </c>
      <c r="I101" s="5">
        <v>31850</v>
      </c>
      <c r="J101" s="186"/>
      <c r="K101" s="5">
        <v>33929</v>
      </c>
      <c r="L101" s="70">
        <v>18443</v>
      </c>
      <c r="M101" s="5">
        <v>8114</v>
      </c>
      <c r="N101" s="186"/>
      <c r="O101" s="5">
        <v>2457</v>
      </c>
      <c r="P101" s="5">
        <v>2244</v>
      </c>
      <c r="Q101" s="5">
        <v>1698</v>
      </c>
      <c r="R101" s="186"/>
      <c r="S101" s="5">
        <f>SUM(C101:Q101)</f>
        <v>348292</v>
      </c>
    </row>
    <row r="102" spans="2:22" x14ac:dyDescent="0.25">
      <c r="B102" s="6" t="s">
        <v>2</v>
      </c>
      <c r="C102" s="149">
        <v>892</v>
      </c>
      <c r="D102" s="149">
        <v>992</v>
      </c>
      <c r="E102" s="149">
        <v>3089</v>
      </c>
      <c r="F102" s="186"/>
      <c r="G102" s="162">
        <v>3483</v>
      </c>
      <c r="H102" s="163">
        <v>2980</v>
      </c>
      <c r="I102" s="150">
        <v>2327</v>
      </c>
      <c r="J102" s="186"/>
      <c r="K102" s="157">
        <v>2905</v>
      </c>
      <c r="L102" s="158">
        <v>2997</v>
      </c>
      <c r="M102" s="157">
        <f>79+1235</f>
        <v>1314</v>
      </c>
      <c r="N102" s="186"/>
      <c r="O102" s="154">
        <v>471</v>
      </c>
      <c r="P102" s="154">
        <v>478</v>
      </c>
      <c r="Q102" s="154">
        <v>736</v>
      </c>
      <c r="R102" s="186"/>
      <c r="S102" s="10">
        <f t="shared" ref="S102:S115" si="24">SUM(C102:Q102)</f>
        <v>22664</v>
      </c>
    </row>
    <row r="103" spans="2:22" x14ac:dyDescent="0.25">
      <c r="B103" s="6" t="s">
        <v>3</v>
      </c>
      <c r="C103" s="149">
        <v>4842</v>
      </c>
      <c r="D103" s="149">
        <v>5060</v>
      </c>
      <c r="E103" s="149">
        <v>4966</v>
      </c>
      <c r="F103" s="186"/>
      <c r="G103" s="162">
        <v>5260</v>
      </c>
      <c r="H103" s="163">
        <v>4804</v>
      </c>
      <c r="I103" s="150">
        <v>4909</v>
      </c>
      <c r="J103" s="186"/>
      <c r="K103" s="157">
        <v>5480</v>
      </c>
      <c r="L103" s="158">
        <v>3691</v>
      </c>
      <c r="M103" s="157">
        <v>2631</v>
      </c>
      <c r="N103" s="186"/>
      <c r="O103" s="154">
        <v>1738</v>
      </c>
      <c r="P103" s="154">
        <v>3346</v>
      </c>
      <c r="Q103" s="154">
        <v>3752</v>
      </c>
      <c r="R103" s="186"/>
      <c r="S103" s="10">
        <f t="shared" si="24"/>
        <v>50479</v>
      </c>
    </row>
    <row r="104" spans="2:22" x14ac:dyDescent="0.25">
      <c r="B104" s="6" t="s">
        <v>4</v>
      </c>
      <c r="C104" s="149">
        <v>3674</v>
      </c>
      <c r="D104" s="149">
        <v>8340</v>
      </c>
      <c r="E104" s="149">
        <v>6954</v>
      </c>
      <c r="F104" s="186"/>
      <c r="G104" s="162">
        <v>7674</v>
      </c>
      <c r="H104" s="163">
        <v>6805</v>
      </c>
      <c r="I104" s="150">
        <v>6586</v>
      </c>
      <c r="J104" s="186"/>
      <c r="K104" s="157">
        <v>5808</v>
      </c>
      <c r="L104" s="158">
        <v>3248</v>
      </c>
      <c r="M104" s="157">
        <f>41+5724</f>
        <v>5765</v>
      </c>
      <c r="N104" s="186"/>
      <c r="O104" s="154">
        <v>3296</v>
      </c>
      <c r="P104" s="154">
        <f>3165+57</f>
        <v>3222</v>
      </c>
      <c r="Q104" s="154">
        <v>799</v>
      </c>
      <c r="R104" s="186"/>
      <c r="S104" s="10">
        <f t="shared" si="24"/>
        <v>62171</v>
      </c>
    </row>
    <row r="105" spans="2:22" x14ac:dyDescent="0.25">
      <c r="B105" s="6" t="s">
        <v>5</v>
      </c>
      <c r="C105" s="149">
        <v>7749</v>
      </c>
      <c r="D105" s="149">
        <v>5292</v>
      </c>
      <c r="E105" s="149">
        <v>6668</v>
      </c>
      <c r="F105" s="186"/>
      <c r="G105" s="162">
        <v>9003</v>
      </c>
      <c r="H105" s="163">
        <v>4702</v>
      </c>
      <c r="I105" s="150">
        <v>4505</v>
      </c>
      <c r="J105" s="186"/>
      <c r="K105" s="157">
        <v>3901</v>
      </c>
      <c r="L105" s="158">
        <v>3517</v>
      </c>
      <c r="M105" s="157">
        <f>18+3637</f>
        <v>3655</v>
      </c>
      <c r="N105" s="186"/>
      <c r="O105" s="154">
        <v>1062</v>
      </c>
      <c r="P105" s="154">
        <v>1542</v>
      </c>
      <c r="Q105" s="154">
        <v>1640</v>
      </c>
      <c r="R105" s="186"/>
      <c r="S105" s="10">
        <f t="shared" si="24"/>
        <v>53236</v>
      </c>
    </row>
    <row r="106" spans="2:22" x14ac:dyDescent="0.25">
      <c r="B106" s="6" t="s">
        <v>6</v>
      </c>
      <c r="C106" s="149">
        <v>18811</v>
      </c>
      <c r="D106" s="134">
        <v>19420</v>
      </c>
      <c r="E106" s="134">
        <v>17927</v>
      </c>
      <c r="F106" s="186"/>
      <c r="G106" s="162">
        <v>19299</v>
      </c>
      <c r="H106" s="163">
        <v>16440</v>
      </c>
      <c r="I106" s="150">
        <v>14969</v>
      </c>
      <c r="J106" s="186"/>
      <c r="K106" s="157">
        <v>13997</v>
      </c>
      <c r="L106" s="158">
        <v>14377</v>
      </c>
      <c r="M106" s="157">
        <v>9722</v>
      </c>
      <c r="N106" s="186"/>
      <c r="O106" s="154">
        <v>5121</v>
      </c>
      <c r="P106" s="154">
        <v>5374</v>
      </c>
      <c r="Q106" s="154">
        <v>8080</v>
      </c>
      <c r="R106" s="186"/>
      <c r="S106" s="10">
        <f t="shared" si="24"/>
        <v>163537</v>
      </c>
    </row>
    <row r="107" spans="2:22" x14ac:dyDescent="0.25">
      <c r="B107" s="6" t="s">
        <v>7</v>
      </c>
      <c r="C107" s="149">
        <v>4648</v>
      </c>
      <c r="D107" s="149">
        <v>7163</v>
      </c>
      <c r="E107" s="149">
        <v>6801</v>
      </c>
      <c r="F107" s="186"/>
      <c r="G107" s="162">
        <v>7515</v>
      </c>
      <c r="H107" s="163">
        <v>6563</v>
      </c>
      <c r="I107" s="150">
        <v>6329</v>
      </c>
      <c r="J107" s="186"/>
      <c r="K107" s="157">
        <v>6222</v>
      </c>
      <c r="L107" s="158">
        <v>5312</v>
      </c>
      <c r="M107" s="157">
        <v>2429</v>
      </c>
      <c r="N107" s="186"/>
      <c r="O107" s="154">
        <v>1559</v>
      </c>
      <c r="P107" s="154">
        <v>1001</v>
      </c>
      <c r="Q107" s="154">
        <v>1059</v>
      </c>
      <c r="R107" s="186"/>
      <c r="S107" s="10">
        <f t="shared" si="24"/>
        <v>56601</v>
      </c>
    </row>
    <row r="108" spans="2:22" x14ac:dyDescent="0.25">
      <c r="B108" s="6" t="s">
        <v>8</v>
      </c>
      <c r="C108" s="149">
        <v>40299</v>
      </c>
      <c r="D108" s="149">
        <v>43825</v>
      </c>
      <c r="E108" s="149">
        <v>46953</v>
      </c>
      <c r="F108" s="186"/>
      <c r="G108" s="162">
        <v>50935</v>
      </c>
      <c r="H108" s="163">
        <v>44713</v>
      </c>
      <c r="I108" s="140">
        <v>38089</v>
      </c>
      <c r="J108" s="186"/>
      <c r="K108" s="157">
        <v>35921</v>
      </c>
      <c r="L108" s="158">
        <v>35081</v>
      </c>
      <c r="M108" s="142">
        <v>26270</v>
      </c>
      <c r="N108" s="186"/>
      <c r="O108" s="154">
        <v>8913</v>
      </c>
      <c r="P108" s="154">
        <v>9266</v>
      </c>
      <c r="Q108" s="154">
        <v>13090</v>
      </c>
      <c r="R108" s="186"/>
      <c r="S108" s="10">
        <f t="shared" si="24"/>
        <v>393355</v>
      </c>
    </row>
    <row r="109" spans="2:22" x14ac:dyDescent="0.25">
      <c r="B109" s="6" t="s">
        <v>9</v>
      </c>
      <c r="C109" s="149">
        <v>7687</v>
      </c>
      <c r="D109" s="149">
        <v>7323</v>
      </c>
      <c r="E109" s="149">
        <v>6643</v>
      </c>
      <c r="F109" s="186"/>
      <c r="G109" s="162">
        <v>7354</v>
      </c>
      <c r="H109" s="164">
        <v>6084</v>
      </c>
      <c r="I109" s="150">
        <v>5753</v>
      </c>
      <c r="J109" s="186"/>
      <c r="K109" s="157">
        <v>5871</v>
      </c>
      <c r="L109" s="158">
        <v>5429</v>
      </c>
      <c r="M109" s="157">
        <f>15+3407</f>
        <v>3422</v>
      </c>
      <c r="N109" s="186"/>
      <c r="O109" s="154">
        <v>1702</v>
      </c>
      <c r="P109" s="154">
        <v>2743</v>
      </c>
      <c r="Q109" s="154">
        <v>3135</v>
      </c>
      <c r="R109" s="186"/>
      <c r="S109" s="10">
        <f t="shared" si="24"/>
        <v>63146</v>
      </c>
      <c r="V109" s="64"/>
    </row>
    <row r="110" spans="2:22" x14ac:dyDescent="0.25">
      <c r="B110" s="6" t="s">
        <v>10</v>
      </c>
      <c r="C110" s="149">
        <v>1222</v>
      </c>
      <c r="D110" s="149">
        <v>918</v>
      </c>
      <c r="E110" s="149">
        <v>963</v>
      </c>
      <c r="F110" s="186"/>
      <c r="G110" s="162">
        <v>1355</v>
      </c>
      <c r="H110" s="163">
        <v>1280</v>
      </c>
      <c r="I110" s="150">
        <v>412</v>
      </c>
      <c r="J110" s="186"/>
      <c r="K110" s="157">
        <v>170</v>
      </c>
      <c r="L110" s="158">
        <v>489</v>
      </c>
      <c r="M110" s="157">
        <v>565</v>
      </c>
      <c r="N110" s="186"/>
      <c r="O110" s="154">
        <v>273</v>
      </c>
      <c r="P110" s="154">
        <v>267</v>
      </c>
      <c r="Q110" s="154">
        <v>369</v>
      </c>
      <c r="R110" s="186"/>
      <c r="S110" s="10">
        <f t="shared" si="24"/>
        <v>8283</v>
      </c>
      <c r="V110" s="65"/>
    </row>
    <row r="111" spans="2:22" x14ac:dyDescent="0.25">
      <c r="B111" s="6" t="s">
        <v>11</v>
      </c>
      <c r="C111" s="149">
        <v>4792</v>
      </c>
      <c r="D111" s="149">
        <v>4859</v>
      </c>
      <c r="E111" s="149">
        <v>3440</v>
      </c>
      <c r="F111" s="186"/>
      <c r="G111" s="162">
        <v>5488</v>
      </c>
      <c r="H111" s="163">
        <v>4964</v>
      </c>
      <c r="I111" s="150">
        <v>4994</v>
      </c>
      <c r="J111" s="186"/>
      <c r="K111" s="157">
        <v>3880</v>
      </c>
      <c r="L111" s="158">
        <v>4277</v>
      </c>
      <c r="M111" s="157">
        <v>3104</v>
      </c>
      <c r="N111" s="186"/>
      <c r="O111" s="154">
        <v>1099</v>
      </c>
      <c r="P111" s="154">
        <f>1969+323</f>
        <v>2292</v>
      </c>
      <c r="Q111" s="154">
        <v>3108</v>
      </c>
      <c r="R111" s="186"/>
      <c r="S111" s="10">
        <f t="shared" si="24"/>
        <v>46297</v>
      </c>
      <c r="V111" s="65"/>
    </row>
    <row r="112" spans="2:22" x14ac:dyDescent="0.25">
      <c r="B112" s="6" t="s">
        <v>12</v>
      </c>
      <c r="C112" s="149">
        <v>1924</v>
      </c>
      <c r="D112" s="149">
        <v>1940</v>
      </c>
      <c r="E112" s="149">
        <v>4504</v>
      </c>
      <c r="F112" s="186"/>
      <c r="G112" s="162">
        <v>5461</v>
      </c>
      <c r="H112" s="163">
        <v>4833</v>
      </c>
      <c r="I112" s="150">
        <v>4573</v>
      </c>
      <c r="J112" s="186"/>
      <c r="K112" s="157">
        <v>4494</v>
      </c>
      <c r="L112" s="158">
        <v>4104</v>
      </c>
      <c r="M112" s="157">
        <v>2793</v>
      </c>
      <c r="N112" s="186"/>
      <c r="O112" s="154">
        <v>1664</v>
      </c>
      <c r="P112" s="154">
        <f>2047+79</f>
        <v>2126</v>
      </c>
      <c r="Q112" s="154">
        <v>1118</v>
      </c>
      <c r="R112" s="186"/>
      <c r="S112" s="10">
        <f t="shared" si="24"/>
        <v>39534</v>
      </c>
      <c r="V112" s="65"/>
    </row>
    <row r="113" spans="2:22" x14ac:dyDescent="0.25">
      <c r="B113" s="6" t="s">
        <v>13</v>
      </c>
      <c r="C113" s="149">
        <v>1857</v>
      </c>
      <c r="D113" s="149">
        <v>1557</v>
      </c>
      <c r="E113" s="149">
        <v>2206</v>
      </c>
      <c r="F113" s="186"/>
      <c r="G113" s="162">
        <v>1625</v>
      </c>
      <c r="H113" s="163">
        <v>2028</v>
      </c>
      <c r="I113" s="150">
        <v>1978</v>
      </c>
      <c r="J113" s="186"/>
      <c r="K113" s="157">
        <v>1694</v>
      </c>
      <c r="L113" s="158">
        <v>1454</v>
      </c>
      <c r="M113" s="157">
        <v>941</v>
      </c>
      <c r="N113" s="186"/>
      <c r="O113" s="154">
        <v>0</v>
      </c>
      <c r="P113" s="154">
        <v>0</v>
      </c>
      <c r="Q113" s="154">
        <v>0</v>
      </c>
      <c r="R113" s="186"/>
      <c r="S113" s="10">
        <f t="shared" si="24"/>
        <v>15340</v>
      </c>
      <c r="V113" s="65"/>
    </row>
    <row r="114" spans="2:22" x14ac:dyDescent="0.25">
      <c r="B114" s="6" t="s">
        <v>14</v>
      </c>
      <c r="C114" s="7"/>
      <c r="D114" s="7"/>
      <c r="E114" s="7"/>
      <c r="F114" s="186"/>
      <c r="G114" s="21"/>
      <c r="H114" s="18"/>
      <c r="I114" s="7">
        <v>87</v>
      </c>
      <c r="J114" s="186"/>
      <c r="K114" s="9">
        <v>51</v>
      </c>
      <c r="L114" s="71">
        <v>34</v>
      </c>
      <c r="M114" s="7">
        <v>3</v>
      </c>
      <c r="N114" s="186"/>
      <c r="O114" s="7"/>
      <c r="P114" s="7">
        <v>66</v>
      </c>
      <c r="Q114" s="7"/>
      <c r="R114" s="186"/>
      <c r="S114" s="10">
        <f t="shared" si="24"/>
        <v>241</v>
      </c>
      <c r="V114" s="65"/>
    </row>
    <row r="115" spans="2:22" x14ac:dyDescent="0.25">
      <c r="B115" s="23" t="s">
        <v>15</v>
      </c>
      <c r="C115" s="22">
        <f t="shared" ref="C115:O115" si="25">SUM(C101:C114)</f>
        <v>140151</v>
      </c>
      <c r="D115" s="22">
        <f t="shared" si="25"/>
        <v>150065</v>
      </c>
      <c r="E115" s="22">
        <f t="shared" si="25"/>
        <v>173615</v>
      </c>
      <c r="F115" s="187"/>
      <c r="G115" s="25">
        <f t="shared" si="25"/>
        <v>184251</v>
      </c>
      <c r="H115" s="33">
        <f t="shared" si="25"/>
        <v>148323</v>
      </c>
      <c r="I115" s="8">
        <f>SUM(I101:I114)</f>
        <v>127361</v>
      </c>
      <c r="J115" s="187"/>
      <c r="K115" s="11">
        <f t="shared" si="25"/>
        <v>124323</v>
      </c>
      <c r="L115" s="72">
        <v>102453</v>
      </c>
      <c r="M115" s="8">
        <f t="shared" si="25"/>
        <v>70728</v>
      </c>
      <c r="N115" s="187"/>
      <c r="O115" s="8">
        <f t="shared" si="25"/>
        <v>29355</v>
      </c>
      <c r="P115" s="8">
        <f t="shared" ref="P115" si="26">SUM(P101:P114)</f>
        <v>33967</v>
      </c>
      <c r="Q115" s="8">
        <f>SUM(Q101:Q114)</f>
        <v>38584</v>
      </c>
      <c r="R115" s="187"/>
      <c r="S115" s="10">
        <f t="shared" si="24"/>
        <v>1323176</v>
      </c>
      <c r="V115" s="65"/>
    </row>
    <row r="116" spans="2:22" x14ac:dyDescent="0.25">
      <c r="D116" s="181" t="s">
        <v>25</v>
      </c>
      <c r="E116" s="181"/>
      <c r="F116" s="34">
        <f>SUM(C115:E115)</f>
        <v>463831</v>
      </c>
      <c r="G116" s="183" t="s">
        <v>20</v>
      </c>
      <c r="H116" s="183"/>
      <c r="I116" s="183"/>
      <c r="J116" s="146">
        <f>SUM(G115:I115)</f>
        <v>459935</v>
      </c>
      <c r="K116" s="188" t="s">
        <v>27</v>
      </c>
      <c r="L116" s="188"/>
      <c r="M116" s="188"/>
      <c r="N116" s="15">
        <f>SUM(K115:M115)</f>
        <v>297504</v>
      </c>
      <c r="O116" s="184" t="s">
        <v>28</v>
      </c>
      <c r="P116" s="184"/>
      <c r="Q116" s="184"/>
      <c r="R116" s="58">
        <f>SUM(O115:Q115)</f>
        <v>101906</v>
      </c>
      <c r="V116" s="65"/>
    </row>
    <row r="117" spans="2:22" x14ac:dyDescent="0.25">
      <c r="D117" s="36"/>
      <c r="E117" s="36"/>
      <c r="F117" s="34"/>
      <c r="G117" s="59"/>
      <c r="H117" s="59"/>
      <c r="I117" s="59"/>
      <c r="J117" s="55"/>
      <c r="K117" s="60"/>
      <c r="L117" s="60"/>
      <c r="M117" s="60"/>
      <c r="V117" s="65"/>
    </row>
    <row r="118" spans="2:22" ht="25.5" customHeight="1" x14ac:dyDescent="0.25">
      <c r="F118" s="26"/>
      <c r="I118" s="15"/>
      <c r="V118" s="65"/>
    </row>
    <row r="119" spans="2:22" ht="26.25" x14ac:dyDescent="0.4">
      <c r="B119" s="180" t="s">
        <v>16</v>
      </c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V119" s="65"/>
    </row>
    <row r="120" spans="2:22" ht="15" customHeight="1" x14ac:dyDescent="0.25">
      <c r="B120" s="1" t="s">
        <v>16</v>
      </c>
      <c r="C120" s="2">
        <v>43282</v>
      </c>
      <c r="D120" s="2">
        <v>43313</v>
      </c>
      <c r="E120" s="2">
        <v>43344</v>
      </c>
      <c r="F120" s="185" t="s">
        <v>18</v>
      </c>
      <c r="G120" s="2">
        <v>43374</v>
      </c>
      <c r="H120" s="2">
        <v>43405</v>
      </c>
      <c r="I120" s="12">
        <v>43435</v>
      </c>
      <c r="J120" s="185" t="s">
        <v>19</v>
      </c>
      <c r="K120" s="2">
        <v>43466</v>
      </c>
      <c r="L120" s="2">
        <v>43497</v>
      </c>
      <c r="M120" s="2">
        <v>43525</v>
      </c>
      <c r="N120" s="185" t="s">
        <v>24</v>
      </c>
      <c r="O120" s="2">
        <v>43556</v>
      </c>
      <c r="P120" s="2">
        <v>43586</v>
      </c>
      <c r="Q120" s="2">
        <v>43617</v>
      </c>
      <c r="R120" s="185" t="s">
        <v>26</v>
      </c>
      <c r="S120" s="3"/>
      <c r="V120" s="65"/>
    </row>
    <row r="121" spans="2:22" x14ac:dyDescent="0.25">
      <c r="B121" s="4" t="s">
        <v>1</v>
      </c>
      <c r="C121" s="5">
        <f>15204+13025+14451+100+374</f>
        <v>43154</v>
      </c>
      <c r="D121" s="5">
        <v>43675</v>
      </c>
      <c r="E121" s="5">
        <v>59699</v>
      </c>
      <c r="F121" s="186"/>
      <c r="G121" s="14">
        <v>60351</v>
      </c>
      <c r="H121" s="5">
        <v>48338</v>
      </c>
      <c r="I121" s="5">
        <v>40669</v>
      </c>
      <c r="J121" s="186"/>
      <c r="K121" s="5">
        <v>51281</v>
      </c>
      <c r="L121" s="5">
        <v>63752</v>
      </c>
      <c r="M121" s="5">
        <v>59197</v>
      </c>
      <c r="N121" s="186"/>
      <c r="O121" s="5">
        <v>69919</v>
      </c>
      <c r="P121" s="5">
        <v>40146</v>
      </c>
      <c r="Q121" s="5">
        <v>32398</v>
      </c>
      <c r="R121" s="186"/>
      <c r="S121" s="5">
        <f>SUM(C121:Q121)</f>
        <v>612579</v>
      </c>
      <c r="V121" s="65"/>
    </row>
    <row r="122" spans="2:22" x14ac:dyDescent="0.25">
      <c r="B122" s="6" t="s">
        <v>2</v>
      </c>
      <c r="C122" s="149">
        <v>2123</v>
      </c>
      <c r="D122" s="149">
        <v>2865</v>
      </c>
      <c r="E122" s="149">
        <v>2903</v>
      </c>
      <c r="F122" s="186"/>
      <c r="G122" s="140">
        <v>2435</v>
      </c>
      <c r="H122" s="150">
        <v>3260</v>
      </c>
      <c r="I122" s="150">
        <v>2227</v>
      </c>
      <c r="J122" s="186"/>
      <c r="K122" s="157">
        <v>2616</v>
      </c>
      <c r="L122" s="157">
        <v>2680</v>
      </c>
      <c r="M122" s="157">
        <v>2776</v>
      </c>
      <c r="N122" s="186"/>
      <c r="O122" s="154">
        <v>3034</v>
      </c>
      <c r="P122" s="154">
        <v>1394</v>
      </c>
      <c r="Q122" s="154">
        <v>1186</v>
      </c>
      <c r="R122" s="186"/>
      <c r="S122" s="10">
        <f t="shared" ref="S122:S135" si="27">SUM(C122:Q122)</f>
        <v>29499</v>
      </c>
      <c r="V122" s="65"/>
    </row>
    <row r="123" spans="2:22" x14ac:dyDescent="0.25">
      <c r="B123" s="6" t="s">
        <v>3</v>
      </c>
      <c r="C123" s="149">
        <v>5718</v>
      </c>
      <c r="D123" s="149">
        <v>5018</v>
      </c>
      <c r="E123" s="149">
        <v>4878</v>
      </c>
      <c r="F123" s="186"/>
      <c r="G123" s="140">
        <v>5300</v>
      </c>
      <c r="H123" s="150">
        <v>4895</v>
      </c>
      <c r="I123" s="150">
        <v>4638</v>
      </c>
      <c r="J123" s="186"/>
      <c r="K123" s="157">
        <v>4589</v>
      </c>
      <c r="L123" s="157">
        <v>3981</v>
      </c>
      <c r="M123" s="157">
        <v>5258</v>
      </c>
      <c r="N123" s="186"/>
      <c r="O123" s="154">
        <v>5146</v>
      </c>
      <c r="P123" s="154">
        <v>4860</v>
      </c>
      <c r="Q123" s="154">
        <v>5452</v>
      </c>
      <c r="R123" s="186"/>
      <c r="S123" s="10">
        <f t="shared" si="27"/>
        <v>59733</v>
      </c>
      <c r="V123" s="65"/>
    </row>
    <row r="124" spans="2:22" ht="15" customHeight="1" x14ac:dyDescent="0.25">
      <c r="B124" s="6" t="s">
        <v>4</v>
      </c>
      <c r="C124" s="149">
        <v>7184</v>
      </c>
      <c r="D124" s="149">
        <v>7436</v>
      </c>
      <c r="E124" s="149">
        <v>6698</v>
      </c>
      <c r="F124" s="186"/>
      <c r="G124" s="140">
        <v>8566</v>
      </c>
      <c r="H124" s="150">
        <v>7527</v>
      </c>
      <c r="I124" s="150">
        <v>7624</v>
      </c>
      <c r="J124" s="186"/>
      <c r="K124" s="157">
        <v>7061</v>
      </c>
      <c r="L124" s="157">
        <v>5597</v>
      </c>
      <c r="M124" s="157">
        <v>8213</v>
      </c>
      <c r="N124" s="186"/>
      <c r="O124" s="154">
        <v>7750</v>
      </c>
      <c r="P124" s="154">
        <v>8322</v>
      </c>
      <c r="Q124" s="154">
        <v>6096</v>
      </c>
      <c r="R124" s="186"/>
      <c r="S124" s="10">
        <f t="shared" si="27"/>
        <v>88074</v>
      </c>
      <c r="V124" s="66"/>
    </row>
    <row r="125" spans="2:22" x14ac:dyDescent="0.25">
      <c r="B125" s="6" t="s">
        <v>5</v>
      </c>
      <c r="C125" s="149">
        <v>6768</v>
      </c>
      <c r="D125" s="149">
        <v>7849</v>
      </c>
      <c r="E125" s="149">
        <v>8133</v>
      </c>
      <c r="F125" s="186"/>
      <c r="G125" s="140">
        <v>9334</v>
      </c>
      <c r="H125" s="150">
        <v>7906</v>
      </c>
      <c r="I125" s="150">
        <v>6775</v>
      </c>
      <c r="J125" s="186"/>
      <c r="K125" s="157">
        <v>7617</v>
      </c>
      <c r="L125" s="157">
        <v>6898</v>
      </c>
      <c r="M125" s="157">
        <v>8603</v>
      </c>
      <c r="N125" s="186"/>
      <c r="O125" s="154">
        <v>8417</v>
      </c>
      <c r="P125" s="154">
        <v>6523</v>
      </c>
      <c r="Q125" s="154">
        <v>4429</v>
      </c>
      <c r="R125" s="186"/>
      <c r="S125" s="10">
        <f t="shared" si="27"/>
        <v>89252</v>
      </c>
      <c r="V125" s="67"/>
    </row>
    <row r="126" spans="2:22" x14ac:dyDescent="0.25">
      <c r="B126" s="6" t="s">
        <v>6</v>
      </c>
      <c r="C126" s="149">
        <v>17446</v>
      </c>
      <c r="D126" s="134">
        <v>18796</v>
      </c>
      <c r="E126" s="134">
        <v>16752</v>
      </c>
      <c r="F126" s="186"/>
      <c r="G126" s="140">
        <v>18912</v>
      </c>
      <c r="H126" s="150">
        <v>15866</v>
      </c>
      <c r="I126" s="150">
        <v>14862</v>
      </c>
      <c r="J126" s="186"/>
      <c r="K126" s="157">
        <v>15466</v>
      </c>
      <c r="L126" s="157">
        <v>15063</v>
      </c>
      <c r="M126" s="157">
        <v>15841</v>
      </c>
      <c r="N126" s="186"/>
      <c r="O126" s="154">
        <v>17781</v>
      </c>
      <c r="P126" s="154">
        <v>17437</v>
      </c>
      <c r="Q126" s="154">
        <v>16818</v>
      </c>
      <c r="R126" s="186"/>
      <c r="S126" s="10">
        <f t="shared" si="27"/>
        <v>201040</v>
      </c>
      <c r="V126" s="68"/>
    </row>
    <row r="127" spans="2:22" x14ac:dyDescent="0.25">
      <c r="B127" s="6" t="s">
        <v>7</v>
      </c>
      <c r="C127" s="149">
        <v>5694</v>
      </c>
      <c r="D127" s="149">
        <v>6416</v>
      </c>
      <c r="E127" s="149">
        <v>4760</v>
      </c>
      <c r="F127" s="186"/>
      <c r="G127" s="140">
        <v>6354</v>
      </c>
      <c r="H127" s="150">
        <v>6452</v>
      </c>
      <c r="I127" s="150">
        <v>5834</v>
      </c>
      <c r="J127" s="186"/>
      <c r="K127" s="157">
        <v>4108</v>
      </c>
      <c r="L127" s="157">
        <v>4244</v>
      </c>
      <c r="M127" s="157">
        <v>6499</v>
      </c>
      <c r="N127" s="186"/>
      <c r="O127" s="154">
        <v>6768</v>
      </c>
      <c r="P127" s="154">
        <v>3720</v>
      </c>
      <c r="Q127" s="154">
        <v>6352</v>
      </c>
      <c r="R127" s="186"/>
      <c r="S127" s="10">
        <f t="shared" si="27"/>
        <v>67201</v>
      </c>
      <c r="V127" s="69"/>
    </row>
    <row r="128" spans="2:22" x14ac:dyDescent="0.25">
      <c r="B128" s="6" t="s">
        <v>8</v>
      </c>
      <c r="C128" s="149">
        <v>38477</v>
      </c>
      <c r="D128" s="149">
        <v>44606</v>
      </c>
      <c r="E128" s="149">
        <v>44796</v>
      </c>
      <c r="F128" s="186"/>
      <c r="G128" s="140">
        <v>48846</v>
      </c>
      <c r="H128" s="140">
        <v>43077</v>
      </c>
      <c r="I128" s="150">
        <v>36275</v>
      </c>
      <c r="J128" s="186"/>
      <c r="K128" s="157">
        <v>39457</v>
      </c>
      <c r="L128" s="142">
        <v>38446</v>
      </c>
      <c r="M128" s="157">
        <v>41955</v>
      </c>
      <c r="N128" s="186"/>
      <c r="O128" s="154">
        <v>43829</v>
      </c>
      <c r="P128" s="154">
        <v>39194</v>
      </c>
      <c r="Q128" s="154">
        <v>36634</v>
      </c>
      <c r="R128" s="186"/>
      <c r="S128" s="10">
        <f t="shared" si="27"/>
        <v>495592</v>
      </c>
    </row>
    <row r="129" spans="2:19" x14ac:dyDescent="0.25">
      <c r="B129" s="6" t="s">
        <v>9</v>
      </c>
      <c r="C129" s="149">
        <v>7918</v>
      </c>
      <c r="D129" s="149">
        <v>7579</v>
      </c>
      <c r="E129" s="149">
        <v>6982</v>
      </c>
      <c r="F129" s="186"/>
      <c r="G129" s="165">
        <v>8002</v>
      </c>
      <c r="H129" s="150">
        <v>6844</v>
      </c>
      <c r="I129" s="150">
        <v>6380</v>
      </c>
      <c r="J129" s="186"/>
      <c r="K129" s="157">
        <v>6704</v>
      </c>
      <c r="L129" s="157">
        <v>5661</v>
      </c>
      <c r="M129" s="157">
        <v>6375</v>
      </c>
      <c r="N129" s="186"/>
      <c r="O129" s="154">
        <v>6742</v>
      </c>
      <c r="P129" s="154">
        <v>5898</v>
      </c>
      <c r="Q129" s="154">
        <v>7264</v>
      </c>
      <c r="R129" s="186"/>
      <c r="S129" s="10">
        <f t="shared" si="27"/>
        <v>82349</v>
      </c>
    </row>
    <row r="130" spans="2:19" x14ac:dyDescent="0.25">
      <c r="B130" s="6" t="s">
        <v>10</v>
      </c>
      <c r="C130" s="149">
        <v>1290</v>
      </c>
      <c r="D130" s="149">
        <v>1165</v>
      </c>
      <c r="E130" s="149">
        <v>1018</v>
      </c>
      <c r="F130" s="186"/>
      <c r="G130" s="140">
        <v>951</v>
      </c>
      <c r="H130" s="150">
        <v>1230</v>
      </c>
      <c r="I130" s="150">
        <v>1098</v>
      </c>
      <c r="J130" s="186"/>
      <c r="K130" s="157">
        <v>1156</v>
      </c>
      <c r="L130" s="157">
        <v>956</v>
      </c>
      <c r="M130" s="157">
        <v>972</v>
      </c>
      <c r="N130" s="186"/>
      <c r="O130" s="154">
        <v>1265</v>
      </c>
      <c r="P130" s="154">
        <v>751</v>
      </c>
      <c r="Q130" s="154">
        <v>991</v>
      </c>
      <c r="R130" s="186"/>
      <c r="S130" s="10">
        <f t="shared" si="27"/>
        <v>12843</v>
      </c>
    </row>
    <row r="131" spans="2:19" x14ac:dyDescent="0.25">
      <c r="B131" s="6" t="s">
        <v>11</v>
      </c>
      <c r="C131" s="149">
        <v>5232</v>
      </c>
      <c r="D131" s="149">
        <v>5211</v>
      </c>
      <c r="E131" s="149">
        <v>4167</v>
      </c>
      <c r="F131" s="186"/>
      <c r="G131" s="140">
        <v>5322</v>
      </c>
      <c r="H131" s="150">
        <v>4656</v>
      </c>
      <c r="I131" s="150">
        <v>4763</v>
      </c>
      <c r="J131" s="186"/>
      <c r="K131" s="157">
        <v>4830</v>
      </c>
      <c r="L131" s="157">
        <v>4242</v>
      </c>
      <c r="M131" s="157">
        <v>4753</v>
      </c>
      <c r="N131" s="186"/>
      <c r="O131" s="154">
        <v>4677</v>
      </c>
      <c r="P131" s="154">
        <v>4605</v>
      </c>
      <c r="Q131" s="154">
        <v>4298</v>
      </c>
      <c r="R131" s="186"/>
      <c r="S131" s="10">
        <f t="shared" si="27"/>
        <v>56756</v>
      </c>
    </row>
    <row r="132" spans="2:19" x14ac:dyDescent="0.25">
      <c r="B132" s="6" t="s">
        <v>12</v>
      </c>
      <c r="C132" s="149">
        <v>5650</v>
      </c>
      <c r="D132" s="149">
        <v>5435</v>
      </c>
      <c r="E132" s="149">
        <v>4716</v>
      </c>
      <c r="F132" s="186"/>
      <c r="G132" s="140">
        <v>5384</v>
      </c>
      <c r="H132" s="150">
        <v>4632</v>
      </c>
      <c r="I132" s="150">
        <v>4243</v>
      </c>
      <c r="J132" s="186"/>
      <c r="K132" s="157">
        <v>4415</v>
      </c>
      <c r="L132" s="157">
        <v>4148</v>
      </c>
      <c r="M132" s="157">
        <v>5040</v>
      </c>
      <c r="N132" s="186"/>
      <c r="O132" s="154">
        <v>5086</v>
      </c>
      <c r="P132" s="154">
        <v>4807</v>
      </c>
      <c r="Q132" s="154">
        <v>2341</v>
      </c>
      <c r="R132" s="186"/>
      <c r="S132" s="10">
        <f t="shared" si="27"/>
        <v>55897</v>
      </c>
    </row>
    <row r="133" spans="2:19" x14ac:dyDescent="0.25">
      <c r="B133" s="6" t="s">
        <v>13</v>
      </c>
      <c r="C133" s="149">
        <v>2218</v>
      </c>
      <c r="D133" s="149">
        <v>1491</v>
      </c>
      <c r="E133" s="149">
        <v>1925</v>
      </c>
      <c r="F133" s="186"/>
      <c r="G133" s="140">
        <v>1498</v>
      </c>
      <c r="H133" s="150">
        <v>1770</v>
      </c>
      <c r="I133" s="150">
        <v>1677</v>
      </c>
      <c r="J133" s="186"/>
      <c r="K133" s="157">
        <v>1544</v>
      </c>
      <c r="L133" s="157">
        <v>1556</v>
      </c>
      <c r="M133" s="157">
        <v>1829</v>
      </c>
      <c r="N133" s="186"/>
      <c r="O133" s="154">
        <v>1442</v>
      </c>
      <c r="P133" s="154">
        <v>1576</v>
      </c>
      <c r="Q133" s="154">
        <v>1775</v>
      </c>
      <c r="R133" s="186"/>
      <c r="S133" s="10">
        <f t="shared" si="27"/>
        <v>20301</v>
      </c>
    </row>
    <row r="134" spans="2:19" x14ac:dyDescent="0.25">
      <c r="B134" s="6" t="s">
        <v>14</v>
      </c>
      <c r="C134" s="7">
        <v>1</v>
      </c>
      <c r="D134" s="7">
        <v>54</v>
      </c>
      <c r="E134" s="7"/>
      <c r="F134" s="186"/>
      <c r="G134" s="8"/>
      <c r="H134" s="7">
        <v>104</v>
      </c>
      <c r="I134" s="9">
        <v>0</v>
      </c>
      <c r="J134" s="186"/>
      <c r="K134" s="7"/>
      <c r="L134" s="7"/>
      <c r="M134" s="7"/>
      <c r="N134" s="186"/>
      <c r="O134" s="7">
        <v>207</v>
      </c>
      <c r="P134" s="7">
        <v>136</v>
      </c>
      <c r="Q134" s="7">
        <v>2</v>
      </c>
      <c r="R134" s="186"/>
      <c r="S134" s="10">
        <f t="shared" si="27"/>
        <v>504</v>
      </c>
    </row>
    <row r="135" spans="2:19" x14ac:dyDescent="0.25">
      <c r="B135" s="6" t="s">
        <v>15</v>
      </c>
      <c r="C135" s="13">
        <f>SUM(C121:C134)</f>
        <v>148873</v>
      </c>
      <c r="D135" s="13">
        <f>SUM(D121:D134)</f>
        <v>157596</v>
      </c>
      <c r="E135" s="13">
        <f>SUM(E121:E134)</f>
        <v>167427</v>
      </c>
      <c r="F135" s="187"/>
      <c r="G135" s="13">
        <f>SUM(G121:G134)</f>
        <v>181255</v>
      </c>
      <c r="H135" s="8">
        <f>SUM(H121:H134)</f>
        <v>156557</v>
      </c>
      <c r="I135" s="11">
        <f>SUM(I121:I134)</f>
        <v>137065</v>
      </c>
      <c r="J135" s="187"/>
      <c r="K135" s="8">
        <f t="shared" ref="K135:Q135" si="28">SUM(K121:K134)</f>
        <v>150844</v>
      </c>
      <c r="L135" s="8">
        <v>157556</v>
      </c>
      <c r="M135" s="8">
        <f t="shared" si="28"/>
        <v>167311</v>
      </c>
      <c r="N135" s="187"/>
      <c r="O135" s="8">
        <f t="shared" si="28"/>
        <v>182063</v>
      </c>
      <c r="P135" s="8">
        <f t="shared" si="28"/>
        <v>139369</v>
      </c>
      <c r="Q135" s="8">
        <f t="shared" si="28"/>
        <v>126036</v>
      </c>
      <c r="R135" s="187"/>
      <c r="S135" s="53">
        <f t="shared" si="27"/>
        <v>1871952</v>
      </c>
    </row>
    <row r="136" spans="2:19" x14ac:dyDescent="0.25">
      <c r="D136" s="181" t="s">
        <v>25</v>
      </c>
      <c r="E136" s="181"/>
      <c r="F136" s="34">
        <f>SUM(C135:E135)</f>
        <v>473896</v>
      </c>
      <c r="G136" s="189" t="s">
        <v>20</v>
      </c>
      <c r="H136" s="189"/>
      <c r="I136" s="189"/>
      <c r="J136" s="56">
        <f>SUM(G135:I135)</f>
        <v>474877</v>
      </c>
      <c r="K136" s="188" t="s">
        <v>27</v>
      </c>
      <c r="L136" s="188"/>
      <c r="M136" s="188"/>
      <c r="N136" s="55">
        <f>SUM(K135:M135)</f>
        <v>475711</v>
      </c>
      <c r="O136" s="184" t="s">
        <v>28</v>
      </c>
      <c r="P136" s="184"/>
      <c r="Q136" s="184"/>
      <c r="R136" s="58">
        <f>SUM(O135:Q135)</f>
        <v>447468</v>
      </c>
    </row>
    <row r="137" spans="2:19" x14ac:dyDescent="0.25">
      <c r="D137" s="36"/>
      <c r="E137" s="36"/>
      <c r="F137" s="34"/>
      <c r="G137" s="61"/>
      <c r="H137" s="61"/>
      <c r="I137" s="61"/>
      <c r="J137" s="56"/>
      <c r="K137" s="60"/>
      <c r="L137" s="60"/>
      <c r="M137" s="60"/>
      <c r="N137" s="55"/>
      <c r="O137" s="62"/>
      <c r="P137" s="62"/>
      <c r="Q137" s="62"/>
      <c r="R137" s="58"/>
    </row>
    <row r="138" spans="2:19" x14ac:dyDescent="0.25">
      <c r="D138" s="36"/>
      <c r="E138" s="36"/>
      <c r="F138" s="34"/>
      <c r="G138" s="61"/>
      <c r="H138" s="61"/>
      <c r="I138" s="61"/>
      <c r="J138" s="56"/>
      <c r="K138" s="60"/>
      <c r="L138" s="60"/>
      <c r="M138" s="60"/>
      <c r="N138" s="55"/>
      <c r="O138" s="62"/>
      <c r="P138" s="62"/>
      <c r="Q138" s="62"/>
      <c r="R138" s="58"/>
    </row>
    <row r="139" spans="2:19" x14ac:dyDescent="0.25">
      <c r="D139" s="36"/>
      <c r="E139" s="36"/>
      <c r="F139" s="34"/>
      <c r="G139" s="37"/>
      <c r="H139" s="37"/>
      <c r="I139" s="35"/>
    </row>
    <row r="140" spans="2:19" ht="33" customHeight="1" x14ac:dyDescent="0.4">
      <c r="B140" s="180" t="s">
        <v>17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</row>
    <row r="141" spans="2:19" ht="15" customHeight="1" x14ac:dyDescent="0.25">
      <c r="B141" s="1" t="s">
        <v>17</v>
      </c>
      <c r="C141" s="19">
        <v>42917</v>
      </c>
      <c r="D141" s="19">
        <v>42948</v>
      </c>
      <c r="E141" s="19">
        <v>42979</v>
      </c>
      <c r="F141" s="185" t="s">
        <v>18</v>
      </c>
      <c r="G141" s="2">
        <v>43009</v>
      </c>
      <c r="H141" s="19">
        <v>43040</v>
      </c>
      <c r="I141" s="2">
        <v>43070</v>
      </c>
      <c r="J141" s="185" t="s">
        <v>19</v>
      </c>
      <c r="K141" s="19">
        <v>43101</v>
      </c>
      <c r="L141" s="19">
        <v>43132</v>
      </c>
      <c r="M141" s="19">
        <v>43160</v>
      </c>
      <c r="N141" s="185" t="s">
        <v>24</v>
      </c>
      <c r="O141" s="19">
        <v>43191</v>
      </c>
      <c r="P141" s="19">
        <v>43221</v>
      </c>
      <c r="Q141" s="19">
        <v>43252</v>
      </c>
      <c r="R141" s="185" t="s">
        <v>26</v>
      </c>
      <c r="S141" s="28"/>
    </row>
    <row r="142" spans="2:19" x14ac:dyDescent="0.25">
      <c r="B142" s="4" t="s">
        <v>1</v>
      </c>
      <c r="C142" s="20">
        <v>42860</v>
      </c>
      <c r="D142" s="20">
        <v>53297</v>
      </c>
      <c r="E142" s="20">
        <v>66566</v>
      </c>
      <c r="F142" s="186"/>
      <c r="G142" s="14">
        <v>62137</v>
      </c>
      <c r="H142" s="20">
        <v>59890</v>
      </c>
      <c r="I142" s="5">
        <v>38055</v>
      </c>
      <c r="J142" s="186"/>
      <c r="K142" s="20">
        <v>48764</v>
      </c>
      <c r="L142" s="20">
        <v>62312</v>
      </c>
      <c r="M142" s="20">
        <v>40395</v>
      </c>
      <c r="N142" s="186"/>
      <c r="O142" s="20">
        <v>51077</v>
      </c>
      <c r="P142" s="20">
        <v>29076</v>
      </c>
      <c r="Q142" s="20">
        <v>24552</v>
      </c>
      <c r="R142" s="186"/>
      <c r="S142" s="20">
        <f t="shared" ref="S142:S156" si="29">SUM(C142:Q142)</f>
        <v>578981</v>
      </c>
    </row>
    <row r="143" spans="2:19" x14ac:dyDescent="0.25">
      <c r="B143" s="23" t="s">
        <v>2</v>
      </c>
      <c r="C143" s="172">
        <v>2890</v>
      </c>
      <c r="D143" s="172">
        <v>3542</v>
      </c>
      <c r="E143" s="172">
        <v>4147</v>
      </c>
      <c r="F143" s="186"/>
      <c r="G143" s="166">
        <v>4119</v>
      </c>
      <c r="H143" s="167">
        <v>3793</v>
      </c>
      <c r="I143" s="168">
        <v>2798</v>
      </c>
      <c r="J143" s="186"/>
      <c r="K143" s="159">
        <v>3254</v>
      </c>
      <c r="L143" s="159">
        <v>3198</v>
      </c>
      <c r="M143" s="159">
        <v>3301</v>
      </c>
      <c r="N143" s="186"/>
      <c r="O143" s="155">
        <v>3460</v>
      </c>
      <c r="P143" s="155">
        <v>2595</v>
      </c>
      <c r="Q143" s="155">
        <v>2169</v>
      </c>
      <c r="R143" s="186"/>
      <c r="S143" s="27">
        <f t="shared" si="29"/>
        <v>39266</v>
      </c>
    </row>
    <row r="144" spans="2:19" x14ac:dyDescent="0.25">
      <c r="B144" s="23" t="s">
        <v>3</v>
      </c>
      <c r="C144" s="172">
        <v>4670</v>
      </c>
      <c r="D144" s="172">
        <v>4442</v>
      </c>
      <c r="E144" s="172">
        <v>4794</v>
      </c>
      <c r="F144" s="186"/>
      <c r="G144" s="166">
        <v>5071</v>
      </c>
      <c r="H144" s="167">
        <v>4592</v>
      </c>
      <c r="I144" s="150">
        <v>4591</v>
      </c>
      <c r="J144" s="186"/>
      <c r="K144" s="160">
        <v>4353</v>
      </c>
      <c r="L144" s="160">
        <v>4289</v>
      </c>
      <c r="M144" s="160">
        <v>4654</v>
      </c>
      <c r="N144" s="186"/>
      <c r="O144" s="156">
        <v>4742</v>
      </c>
      <c r="P144" s="156">
        <v>5176</v>
      </c>
      <c r="Q144" s="156">
        <v>4937</v>
      </c>
      <c r="R144" s="186"/>
      <c r="S144" s="39">
        <f t="shared" si="29"/>
        <v>56311</v>
      </c>
    </row>
    <row r="145" spans="2:19" x14ac:dyDescent="0.25">
      <c r="B145" s="23" t="s">
        <v>4</v>
      </c>
      <c r="C145" s="172">
        <v>8458</v>
      </c>
      <c r="D145" s="172">
        <v>10167</v>
      </c>
      <c r="E145" s="172">
        <v>9564</v>
      </c>
      <c r="F145" s="186"/>
      <c r="G145" s="166">
        <v>9700</v>
      </c>
      <c r="H145" s="167">
        <v>8001</v>
      </c>
      <c r="I145" s="168">
        <v>8435</v>
      </c>
      <c r="J145" s="186"/>
      <c r="K145" s="159">
        <v>9096</v>
      </c>
      <c r="L145" s="159">
        <v>8370</v>
      </c>
      <c r="M145" s="159">
        <v>8423</v>
      </c>
      <c r="N145" s="186"/>
      <c r="O145" s="155">
        <v>6619</v>
      </c>
      <c r="P145" s="155">
        <v>7136</v>
      </c>
      <c r="Q145" s="155">
        <v>7786</v>
      </c>
      <c r="R145" s="186"/>
      <c r="S145" s="27">
        <f t="shared" si="29"/>
        <v>101755</v>
      </c>
    </row>
    <row r="146" spans="2:19" x14ac:dyDescent="0.25">
      <c r="B146" s="23" t="s">
        <v>5</v>
      </c>
      <c r="C146" s="172">
        <v>10394</v>
      </c>
      <c r="D146" s="172">
        <v>10210</v>
      </c>
      <c r="E146" s="172">
        <v>9198</v>
      </c>
      <c r="F146" s="186"/>
      <c r="G146" s="166">
        <v>9541</v>
      </c>
      <c r="H146" s="167">
        <v>8401</v>
      </c>
      <c r="I146" s="168">
        <v>7371</v>
      </c>
      <c r="J146" s="186"/>
      <c r="K146" s="159">
        <v>8101</v>
      </c>
      <c r="L146" s="159">
        <v>8025</v>
      </c>
      <c r="M146" s="159">
        <v>8093</v>
      </c>
      <c r="N146" s="186"/>
      <c r="O146" s="155">
        <v>8011</v>
      </c>
      <c r="P146" s="155">
        <v>6898</v>
      </c>
      <c r="Q146" s="155">
        <v>6225</v>
      </c>
      <c r="R146" s="186"/>
      <c r="S146" s="27">
        <f t="shared" si="29"/>
        <v>100468</v>
      </c>
    </row>
    <row r="147" spans="2:19" x14ac:dyDescent="0.25">
      <c r="B147" s="23" t="s">
        <v>6</v>
      </c>
      <c r="C147" s="172">
        <v>18700</v>
      </c>
      <c r="D147" s="173">
        <v>19592</v>
      </c>
      <c r="E147" s="172">
        <v>19409</v>
      </c>
      <c r="F147" s="186"/>
      <c r="G147" s="166">
        <v>19488</v>
      </c>
      <c r="H147" s="167">
        <v>17981</v>
      </c>
      <c r="I147" s="168">
        <v>16237</v>
      </c>
      <c r="J147" s="186"/>
      <c r="K147" s="159">
        <v>16625</v>
      </c>
      <c r="L147" s="159">
        <v>16857</v>
      </c>
      <c r="M147" s="159">
        <v>18358</v>
      </c>
      <c r="N147" s="186"/>
      <c r="O147" s="155">
        <v>18628</v>
      </c>
      <c r="P147" s="155">
        <v>18513</v>
      </c>
      <c r="Q147" s="155">
        <v>17839</v>
      </c>
      <c r="R147" s="186"/>
      <c r="S147" s="27">
        <f t="shared" si="29"/>
        <v>218227</v>
      </c>
    </row>
    <row r="148" spans="2:19" x14ac:dyDescent="0.25">
      <c r="B148" s="23" t="s">
        <v>7</v>
      </c>
      <c r="C148" s="172">
        <v>5737</v>
      </c>
      <c r="D148" s="172">
        <v>6945</v>
      </c>
      <c r="E148" s="172">
        <v>6456</v>
      </c>
      <c r="F148" s="186"/>
      <c r="G148" s="166">
        <v>6984</v>
      </c>
      <c r="H148" s="167">
        <v>6591</v>
      </c>
      <c r="I148" s="168">
        <v>6212</v>
      </c>
      <c r="J148" s="186"/>
      <c r="K148" s="159">
        <v>6749</v>
      </c>
      <c r="L148" s="159">
        <v>6498</v>
      </c>
      <c r="M148" s="159">
        <v>6718</v>
      </c>
      <c r="N148" s="186"/>
      <c r="O148" s="155">
        <v>6919</v>
      </c>
      <c r="P148" s="155">
        <v>6547</v>
      </c>
      <c r="Q148" s="155">
        <v>5679</v>
      </c>
      <c r="R148" s="186"/>
      <c r="S148" s="27">
        <f t="shared" si="29"/>
        <v>78035</v>
      </c>
    </row>
    <row r="149" spans="2:19" x14ac:dyDescent="0.25">
      <c r="B149" s="23" t="s">
        <v>8</v>
      </c>
      <c r="C149" s="172">
        <v>41774</v>
      </c>
      <c r="D149" s="172">
        <v>47205</v>
      </c>
      <c r="E149" s="172">
        <v>49392</v>
      </c>
      <c r="F149" s="186"/>
      <c r="G149" s="166">
        <v>48171</v>
      </c>
      <c r="H149" s="169">
        <v>46004</v>
      </c>
      <c r="I149" s="168">
        <v>39247</v>
      </c>
      <c r="J149" s="186"/>
      <c r="K149" s="159">
        <v>41205</v>
      </c>
      <c r="L149" s="161">
        <v>42605</v>
      </c>
      <c r="M149" s="159">
        <v>44507</v>
      </c>
      <c r="N149" s="186"/>
      <c r="O149" s="155">
        <v>44299</v>
      </c>
      <c r="P149" s="155">
        <v>40748</v>
      </c>
      <c r="Q149" s="155">
        <v>36302</v>
      </c>
      <c r="R149" s="186"/>
      <c r="S149" s="27">
        <f t="shared" si="29"/>
        <v>521459</v>
      </c>
    </row>
    <row r="150" spans="2:19" x14ac:dyDescent="0.25">
      <c r="B150" s="23" t="s">
        <v>9</v>
      </c>
      <c r="C150" s="172">
        <v>7404</v>
      </c>
      <c r="D150" s="172">
        <v>8031</v>
      </c>
      <c r="E150" s="172">
        <v>7870</v>
      </c>
      <c r="F150" s="186"/>
      <c r="G150" s="170">
        <v>8703</v>
      </c>
      <c r="H150" s="167">
        <v>7979</v>
      </c>
      <c r="I150" s="168">
        <v>7303</v>
      </c>
      <c r="J150" s="186"/>
      <c r="K150" s="159">
        <v>7469</v>
      </c>
      <c r="L150" s="159">
        <v>7188</v>
      </c>
      <c r="M150" s="159">
        <v>7360</v>
      </c>
      <c r="N150" s="186"/>
      <c r="O150" s="155">
        <v>6930</v>
      </c>
      <c r="P150" s="155">
        <v>7349</v>
      </c>
      <c r="Q150" s="155">
        <v>8066</v>
      </c>
      <c r="R150" s="186"/>
      <c r="S150" s="27">
        <f t="shared" si="29"/>
        <v>91652</v>
      </c>
    </row>
    <row r="151" spans="2:19" x14ac:dyDescent="0.25">
      <c r="B151" s="23" t="s">
        <v>10</v>
      </c>
      <c r="C151" s="172">
        <v>2811</v>
      </c>
      <c r="D151" s="172">
        <v>1854</v>
      </c>
      <c r="E151" s="172">
        <v>1663</v>
      </c>
      <c r="F151" s="186"/>
      <c r="G151" s="166">
        <v>1941</v>
      </c>
      <c r="H151" s="167">
        <v>1779</v>
      </c>
      <c r="I151" s="168">
        <v>1522</v>
      </c>
      <c r="J151" s="186"/>
      <c r="K151" s="159">
        <v>1637</v>
      </c>
      <c r="L151" s="159">
        <v>1300</v>
      </c>
      <c r="M151" s="159">
        <v>1665</v>
      </c>
      <c r="N151" s="186"/>
      <c r="O151" s="155">
        <v>1484</v>
      </c>
      <c r="P151" s="155">
        <v>1082</v>
      </c>
      <c r="Q151" s="155">
        <v>1157</v>
      </c>
      <c r="R151" s="186"/>
      <c r="S151" s="27">
        <f t="shared" si="29"/>
        <v>19895</v>
      </c>
    </row>
    <row r="152" spans="2:19" x14ac:dyDescent="0.25">
      <c r="B152" s="23" t="s">
        <v>11</v>
      </c>
      <c r="C152" s="172">
        <v>4640</v>
      </c>
      <c r="D152" s="172">
        <v>5850</v>
      </c>
      <c r="E152" s="172">
        <v>5219</v>
      </c>
      <c r="F152" s="186"/>
      <c r="G152" s="166">
        <v>5031</v>
      </c>
      <c r="H152" s="167">
        <v>5028</v>
      </c>
      <c r="I152" s="168">
        <v>5091</v>
      </c>
      <c r="J152" s="186"/>
      <c r="K152" s="159">
        <v>4595</v>
      </c>
      <c r="L152" s="159">
        <v>4501</v>
      </c>
      <c r="M152" s="159">
        <v>4794</v>
      </c>
      <c r="N152" s="186"/>
      <c r="O152" s="155">
        <v>4823</v>
      </c>
      <c r="P152" s="155">
        <v>5038</v>
      </c>
      <c r="Q152" s="155">
        <v>5101</v>
      </c>
      <c r="R152" s="186"/>
      <c r="S152" s="27">
        <f t="shared" si="29"/>
        <v>59711</v>
      </c>
    </row>
    <row r="153" spans="2:19" x14ac:dyDescent="0.25">
      <c r="B153" s="23" t="s">
        <v>12</v>
      </c>
      <c r="C153" s="172">
        <v>4964</v>
      </c>
      <c r="D153" s="172">
        <v>5864</v>
      </c>
      <c r="E153" s="172">
        <v>5773</v>
      </c>
      <c r="F153" s="186"/>
      <c r="G153" s="166">
        <v>6546</v>
      </c>
      <c r="H153" s="167">
        <v>5740</v>
      </c>
      <c r="I153" s="168">
        <v>6017</v>
      </c>
      <c r="J153" s="186"/>
      <c r="K153" s="159">
        <v>5555</v>
      </c>
      <c r="L153" s="159">
        <v>4979</v>
      </c>
      <c r="M153" s="159">
        <v>5772</v>
      </c>
      <c r="N153" s="186"/>
      <c r="O153" s="155">
        <v>5740</v>
      </c>
      <c r="P153" s="155">
        <v>5150</v>
      </c>
      <c r="Q153" s="155">
        <v>5650</v>
      </c>
      <c r="R153" s="186"/>
      <c r="S153" s="27">
        <f t="shared" si="29"/>
        <v>67750</v>
      </c>
    </row>
    <row r="154" spans="2:19" x14ac:dyDescent="0.25">
      <c r="B154" s="23" t="s">
        <v>13</v>
      </c>
      <c r="C154" s="172">
        <v>2157</v>
      </c>
      <c r="D154" s="172">
        <v>1476</v>
      </c>
      <c r="E154" s="172">
        <v>1804</v>
      </c>
      <c r="F154" s="186"/>
      <c r="G154" s="166">
        <v>1979</v>
      </c>
      <c r="H154" s="167">
        <v>1844</v>
      </c>
      <c r="I154" s="168">
        <v>1881</v>
      </c>
      <c r="J154" s="186"/>
      <c r="K154" s="159">
        <v>1599</v>
      </c>
      <c r="L154" s="159">
        <v>1330</v>
      </c>
      <c r="M154" s="159">
        <v>1398</v>
      </c>
      <c r="N154" s="186"/>
      <c r="O154" s="155">
        <v>1710</v>
      </c>
      <c r="P154" s="155">
        <v>1897</v>
      </c>
      <c r="Q154" s="155">
        <v>1423</v>
      </c>
      <c r="R154" s="186"/>
      <c r="S154" s="27">
        <f t="shared" si="29"/>
        <v>20498</v>
      </c>
    </row>
    <row r="155" spans="2:19" x14ac:dyDescent="0.25">
      <c r="B155" s="23" t="s">
        <v>14</v>
      </c>
      <c r="C155" s="29">
        <v>431</v>
      </c>
      <c r="D155" s="29"/>
      <c r="E155" s="29"/>
      <c r="F155" s="186"/>
      <c r="G155" s="32"/>
      <c r="H155" s="29">
        <v>85</v>
      </c>
      <c r="I155" s="30">
        <v>51</v>
      </c>
      <c r="J155" s="186"/>
      <c r="K155" s="29"/>
      <c r="L155" s="29">
        <v>98</v>
      </c>
      <c r="M155" s="29">
        <v>126</v>
      </c>
      <c r="N155" s="186"/>
      <c r="O155" s="29"/>
      <c r="P155" s="29">
        <v>155</v>
      </c>
      <c r="Q155" s="29">
        <v>23</v>
      </c>
      <c r="R155" s="186"/>
      <c r="S155" s="27">
        <f t="shared" si="29"/>
        <v>969</v>
      </c>
    </row>
    <row r="156" spans="2:19" x14ac:dyDescent="0.25">
      <c r="B156" s="23" t="s">
        <v>15</v>
      </c>
      <c r="C156" s="29">
        <f>SUM(C142:C155)</f>
        <v>157890</v>
      </c>
      <c r="D156" s="29">
        <f>SUM(D142:D155)</f>
        <v>178475</v>
      </c>
      <c r="E156" s="29">
        <f>SUM(E142:E155)</f>
        <v>191855</v>
      </c>
      <c r="F156" s="187"/>
      <c r="G156" s="22">
        <f>SUM(G142:G155)</f>
        <v>189411</v>
      </c>
      <c r="H156" s="31">
        <f>SUM(H142:H155)</f>
        <v>177708</v>
      </c>
      <c r="I156" s="32">
        <f>SUM(I142:I155)</f>
        <v>144811</v>
      </c>
      <c r="J156" s="187"/>
      <c r="K156" s="31">
        <f t="shared" ref="K156:Q156" si="30">SUM(K142:K155)</f>
        <v>159002</v>
      </c>
      <c r="L156" s="31">
        <f t="shared" si="30"/>
        <v>171550</v>
      </c>
      <c r="M156" s="31">
        <f t="shared" si="30"/>
        <v>155564</v>
      </c>
      <c r="N156" s="187"/>
      <c r="O156" s="31">
        <f t="shared" si="30"/>
        <v>164442</v>
      </c>
      <c r="P156" s="31">
        <f t="shared" si="30"/>
        <v>137360</v>
      </c>
      <c r="Q156" s="31">
        <f t="shared" si="30"/>
        <v>126909</v>
      </c>
      <c r="R156" s="187"/>
      <c r="S156" s="52">
        <f t="shared" si="29"/>
        <v>1954977</v>
      </c>
    </row>
    <row r="157" spans="2:19" x14ac:dyDescent="0.25">
      <c r="D157" s="181" t="s">
        <v>25</v>
      </c>
      <c r="E157" s="181"/>
      <c r="F157" s="34">
        <f>SUM(C156:E156)</f>
        <v>528220</v>
      </c>
      <c r="G157" s="189" t="s">
        <v>20</v>
      </c>
      <c r="H157" s="189"/>
      <c r="I157" s="189"/>
      <c r="J157" s="56">
        <f>SUM(G156:I156)</f>
        <v>511930</v>
      </c>
      <c r="K157" s="188" t="s">
        <v>27</v>
      </c>
      <c r="L157" s="188"/>
      <c r="M157" s="188"/>
      <c r="N157" s="57">
        <f>SUM(K156:M156)</f>
        <v>486116</v>
      </c>
      <c r="O157" s="184" t="s">
        <v>28</v>
      </c>
      <c r="P157" s="184"/>
      <c r="Q157" s="184"/>
      <c r="R157" s="58">
        <f>SUM(O156:Q156)</f>
        <v>428711</v>
      </c>
    </row>
    <row r="160" spans="2:19" ht="26.25" x14ac:dyDescent="0.4">
      <c r="B160" s="180" t="s">
        <v>21</v>
      </c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</row>
    <row r="161" spans="2:19" x14ac:dyDescent="0.25">
      <c r="B161" s="1" t="s">
        <v>21</v>
      </c>
      <c r="C161" s="19">
        <v>42552</v>
      </c>
      <c r="D161" s="19">
        <v>42583</v>
      </c>
      <c r="E161" s="19">
        <v>42614</v>
      </c>
      <c r="F161" s="185" t="s">
        <v>18</v>
      </c>
      <c r="G161" s="19">
        <v>42644</v>
      </c>
      <c r="H161" s="19">
        <v>42675</v>
      </c>
      <c r="I161" s="19">
        <v>42705</v>
      </c>
      <c r="J161" s="185" t="s">
        <v>19</v>
      </c>
      <c r="K161" s="19">
        <v>42736</v>
      </c>
      <c r="L161" s="19">
        <v>42767</v>
      </c>
      <c r="M161" s="19">
        <v>42795</v>
      </c>
      <c r="N161" s="185" t="s">
        <v>24</v>
      </c>
      <c r="O161" s="19">
        <v>42826</v>
      </c>
      <c r="P161" s="19">
        <v>42856</v>
      </c>
      <c r="Q161" s="19">
        <v>42887</v>
      </c>
      <c r="R161" s="185" t="s">
        <v>26</v>
      </c>
      <c r="S161" s="28"/>
    </row>
    <row r="162" spans="2:19" x14ac:dyDescent="0.25">
      <c r="B162" s="4" t="s">
        <v>1</v>
      </c>
      <c r="C162" s="20">
        <v>58631</v>
      </c>
      <c r="D162" s="20">
        <v>59850</v>
      </c>
      <c r="E162" s="20">
        <v>82550</v>
      </c>
      <c r="F162" s="186"/>
      <c r="G162" s="40">
        <v>79107</v>
      </c>
      <c r="H162" s="20">
        <v>70210</v>
      </c>
      <c r="I162" s="20">
        <v>43839</v>
      </c>
      <c r="J162" s="186"/>
      <c r="K162" s="20">
        <v>51966</v>
      </c>
      <c r="L162" s="20">
        <v>67536</v>
      </c>
      <c r="M162" s="20">
        <v>63829</v>
      </c>
      <c r="N162" s="186"/>
      <c r="O162" s="20">
        <v>72327</v>
      </c>
      <c r="P162" s="20">
        <v>49607</v>
      </c>
      <c r="Q162" s="20">
        <v>38262</v>
      </c>
      <c r="R162" s="186"/>
      <c r="S162" s="20">
        <f t="shared" ref="S162:S176" si="31">SUM(C162:Q162)</f>
        <v>737714</v>
      </c>
    </row>
    <row r="163" spans="2:19" x14ac:dyDescent="0.25">
      <c r="B163" s="23" t="s">
        <v>2</v>
      </c>
      <c r="C163" s="172">
        <v>3237</v>
      </c>
      <c r="D163" s="172">
        <v>4362</v>
      </c>
      <c r="E163" s="172">
        <v>5133</v>
      </c>
      <c r="F163" s="186"/>
      <c r="G163" s="171">
        <v>4714</v>
      </c>
      <c r="H163" s="167">
        <v>4225</v>
      </c>
      <c r="I163" s="167">
        <v>3063</v>
      </c>
      <c r="J163" s="186"/>
      <c r="K163" s="159">
        <v>3799</v>
      </c>
      <c r="L163" s="159">
        <v>3901</v>
      </c>
      <c r="M163" s="159">
        <v>3744</v>
      </c>
      <c r="N163" s="186"/>
      <c r="O163" s="155">
        <v>3605</v>
      </c>
      <c r="P163" s="155">
        <v>2941</v>
      </c>
      <c r="Q163" s="155">
        <v>3238</v>
      </c>
      <c r="R163" s="186"/>
      <c r="S163" s="27">
        <f t="shared" si="31"/>
        <v>45962</v>
      </c>
    </row>
    <row r="164" spans="2:19" x14ac:dyDescent="0.25">
      <c r="B164" s="23" t="s">
        <v>3</v>
      </c>
      <c r="C164" s="172">
        <v>0</v>
      </c>
      <c r="D164" s="172"/>
      <c r="E164" s="172"/>
      <c r="F164" s="186"/>
      <c r="G164" s="171">
        <v>1267</v>
      </c>
      <c r="H164" s="167">
        <v>2547</v>
      </c>
      <c r="I164" s="167">
        <v>2958</v>
      </c>
      <c r="J164" s="186"/>
      <c r="K164" s="159">
        <v>3072</v>
      </c>
      <c r="L164" s="159">
        <v>3108</v>
      </c>
      <c r="M164" s="159">
        <v>3605</v>
      </c>
      <c r="N164" s="186"/>
      <c r="O164" s="155">
        <v>3744</v>
      </c>
      <c r="P164" s="155">
        <v>3962</v>
      </c>
      <c r="Q164" s="155">
        <v>4240</v>
      </c>
      <c r="R164" s="186"/>
      <c r="S164" s="27">
        <f t="shared" si="31"/>
        <v>28503</v>
      </c>
    </row>
    <row r="165" spans="2:19" x14ac:dyDescent="0.25">
      <c r="B165" s="23" t="s">
        <v>4</v>
      </c>
      <c r="C165" s="172">
        <v>9444</v>
      </c>
      <c r="D165" s="172">
        <v>11634</v>
      </c>
      <c r="E165" s="172">
        <v>10707</v>
      </c>
      <c r="F165" s="186"/>
      <c r="G165" s="171">
        <v>9489</v>
      </c>
      <c r="H165" s="167">
        <v>8416</v>
      </c>
      <c r="I165" s="167">
        <v>7582</v>
      </c>
      <c r="J165" s="186"/>
      <c r="K165" s="159">
        <v>7708</v>
      </c>
      <c r="L165" s="159">
        <v>8081</v>
      </c>
      <c r="M165" s="159">
        <v>9177</v>
      </c>
      <c r="N165" s="186"/>
      <c r="O165" s="155">
        <v>8742</v>
      </c>
      <c r="P165" s="155">
        <v>9354</v>
      </c>
      <c r="Q165" s="155">
        <v>9814</v>
      </c>
      <c r="R165" s="186"/>
      <c r="S165" s="27">
        <f t="shared" si="31"/>
        <v>110148</v>
      </c>
    </row>
    <row r="166" spans="2:19" x14ac:dyDescent="0.25">
      <c r="B166" s="23" t="s">
        <v>5</v>
      </c>
      <c r="C166" s="172">
        <v>9172</v>
      </c>
      <c r="D166" s="172">
        <v>11338</v>
      </c>
      <c r="E166" s="172">
        <v>10900</v>
      </c>
      <c r="F166" s="186"/>
      <c r="G166" s="171">
        <v>10584</v>
      </c>
      <c r="H166" s="167">
        <v>9999</v>
      </c>
      <c r="I166" s="167">
        <v>7518</v>
      </c>
      <c r="J166" s="186"/>
      <c r="K166" s="159">
        <v>9392</v>
      </c>
      <c r="L166" s="159">
        <v>9129</v>
      </c>
      <c r="M166" s="159">
        <v>10426</v>
      </c>
      <c r="N166" s="186"/>
      <c r="O166" s="155">
        <v>9173</v>
      </c>
      <c r="P166" s="155">
        <v>9759</v>
      </c>
      <c r="Q166" s="155">
        <v>10297</v>
      </c>
      <c r="R166" s="186"/>
      <c r="S166" s="27">
        <f t="shared" si="31"/>
        <v>117687</v>
      </c>
    </row>
    <row r="167" spans="2:19" x14ac:dyDescent="0.25">
      <c r="B167" s="23" t="s">
        <v>6</v>
      </c>
      <c r="C167" s="172">
        <v>16624</v>
      </c>
      <c r="D167" s="173">
        <v>20594</v>
      </c>
      <c r="E167" s="172">
        <v>19759</v>
      </c>
      <c r="F167" s="186"/>
      <c r="G167" s="171">
        <v>19438</v>
      </c>
      <c r="H167" s="167">
        <v>17834</v>
      </c>
      <c r="I167" s="167">
        <v>18094</v>
      </c>
      <c r="J167" s="186"/>
      <c r="K167" s="159">
        <v>16987</v>
      </c>
      <c r="L167" s="159">
        <v>17125</v>
      </c>
      <c r="M167" s="159">
        <v>18391</v>
      </c>
      <c r="N167" s="186"/>
      <c r="O167" s="155">
        <v>18163</v>
      </c>
      <c r="P167" s="155">
        <v>18664</v>
      </c>
      <c r="Q167" s="155">
        <v>18913</v>
      </c>
      <c r="R167" s="186"/>
      <c r="S167" s="27">
        <f t="shared" si="31"/>
        <v>220586</v>
      </c>
    </row>
    <row r="168" spans="2:19" x14ac:dyDescent="0.25">
      <c r="B168" s="23" t="s">
        <v>7</v>
      </c>
      <c r="C168" s="172">
        <v>6159</v>
      </c>
      <c r="D168" s="172">
        <v>7394</v>
      </c>
      <c r="E168" s="172">
        <v>6379</v>
      </c>
      <c r="F168" s="186"/>
      <c r="G168" s="171">
        <v>6474</v>
      </c>
      <c r="H168" s="167">
        <v>6097</v>
      </c>
      <c r="I168" s="167">
        <v>6098</v>
      </c>
      <c r="J168" s="186"/>
      <c r="K168" s="159">
        <v>6195</v>
      </c>
      <c r="L168" s="159">
        <v>6299</v>
      </c>
      <c r="M168" s="159">
        <v>6527</v>
      </c>
      <c r="N168" s="186"/>
      <c r="O168" s="155">
        <v>5909</v>
      </c>
      <c r="P168" s="155">
        <v>6295</v>
      </c>
      <c r="Q168" s="155">
        <v>6386</v>
      </c>
      <c r="R168" s="186"/>
      <c r="S168" s="27">
        <f t="shared" si="31"/>
        <v>76212</v>
      </c>
    </row>
    <row r="169" spans="2:19" x14ac:dyDescent="0.25">
      <c r="B169" s="23" t="s">
        <v>8</v>
      </c>
      <c r="C169" s="172">
        <v>48553</v>
      </c>
      <c r="D169" s="172">
        <v>57879</v>
      </c>
      <c r="E169" s="172">
        <v>57713</v>
      </c>
      <c r="F169" s="186"/>
      <c r="G169" s="169">
        <v>53990</v>
      </c>
      <c r="H169" s="169">
        <v>47613</v>
      </c>
      <c r="I169" s="167">
        <v>43561</v>
      </c>
      <c r="J169" s="186"/>
      <c r="K169" s="159">
        <v>43285</v>
      </c>
      <c r="L169" s="161">
        <v>46255</v>
      </c>
      <c r="M169" s="159">
        <v>48469</v>
      </c>
      <c r="N169" s="186"/>
      <c r="O169" s="155">
        <v>46372</v>
      </c>
      <c r="P169" s="155">
        <v>44923</v>
      </c>
      <c r="Q169" s="155">
        <v>43694</v>
      </c>
      <c r="R169" s="186"/>
      <c r="S169" s="27">
        <f t="shared" si="31"/>
        <v>582307</v>
      </c>
    </row>
    <row r="170" spans="2:19" x14ac:dyDescent="0.25">
      <c r="B170" s="23" t="s">
        <v>9</v>
      </c>
      <c r="C170" s="172">
        <v>8184</v>
      </c>
      <c r="D170" s="172">
        <v>9340</v>
      </c>
      <c r="E170" s="172">
        <v>8527</v>
      </c>
      <c r="F170" s="186"/>
      <c r="G170" s="167">
        <v>8620</v>
      </c>
      <c r="H170" s="167">
        <v>7889</v>
      </c>
      <c r="I170" s="167">
        <v>8405</v>
      </c>
      <c r="J170" s="186"/>
      <c r="K170" s="159">
        <v>7775</v>
      </c>
      <c r="L170" s="159">
        <v>7576</v>
      </c>
      <c r="M170" s="159">
        <v>8093</v>
      </c>
      <c r="N170" s="186"/>
      <c r="O170" s="155">
        <v>7343</v>
      </c>
      <c r="P170" s="155">
        <v>8307</v>
      </c>
      <c r="Q170" s="155">
        <v>8859</v>
      </c>
      <c r="R170" s="186"/>
      <c r="S170" s="27">
        <f t="shared" si="31"/>
        <v>98918</v>
      </c>
    </row>
    <row r="171" spans="2:19" x14ac:dyDescent="0.25">
      <c r="B171" s="23" t="s">
        <v>10</v>
      </c>
      <c r="C171" s="172">
        <v>1986</v>
      </c>
      <c r="D171" s="172">
        <v>2453</v>
      </c>
      <c r="E171" s="172">
        <v>2772</v>
      </c>
      <c r="F171" s="186"/>
      <c r="G171" s="171">
        <v>2728</v>
      </c>
      <c r="H171" s="167">
        <v>2437</v>
      </c>
      <c r="I171" s="167">
        <v>1965</v>
      </c>
      <c r="J171" s="186"/>
      <c r="K171" s="159">
        <v>2369</v>
      </c>
      <c r="L171" s="159">
        <v>2613</v>
      </c>
      <c r="M171" s="159">
        <v>2768</v>
      </c>
      <c r="N171" s="186"/>
      <c r="O171" s="155">
        <v>2366</v>
      </c>
      <c r="P171" s="155">
        <v>2478</v>
      </c>
      <c r="Q171" s="155">
        <v>2285</v>
      </c>
      <c r="R171" s="186"/>
      <c r="S171" s="27">
        <f t="shared" si="31"/>
        <v>29220</v>
      </c>
    </row>
    <row r="172" spans="2:19" x14ac:dyDescent="0.25">
      <c r="B172" s="23" t="s">
        <v>11</v>
      </c>
      <c r="C172" s="172">
        <v>5356</v>
      </c>
      <c r="D172" s="172">
        <v>6429</v>
      </c>
      <c r="E172" s="172">
        <v>5934</v>
      </c>
      <c r="F172" s="186"/>
      <c r="G172" s="171">
        <v>5673</v>
      </c>
      <c r="H172" s="167">
        <v>5478</v>
      </c>
      <c r="I172" s="167">
        <v>5008</v>
      </c>
      <c r="J172" s="186"/>
      <c r="K172" s="159">
        <v>5296</v>
      </c>
      <c r="L172" s="159">
        <v>5309</v>
      </c>
      <c r="M172" s="159">
        <v>5273</v>
      </c>
      <c r="N172" s="186"/>
      <c r="O172" s="155">
        <v>4801</v>
      </c>
      <c r="P172" s="155">
        <v>5039</v>
      </c>
      <c r="Q172" s="155">
        <v>5170</v>
      </c>
      <c r="R172" s="186"/>
      <c r="S172" s="27">
        <f t="shared" si="31"/>
        <v>64766</v>
      </c>
    </row>
    <row r="173" spans="2:19" x14ac:dyDescent="0.25">
      <c r="B173" s="23" t="s">
        <v>12</v>
      </c>
      <c r="C173" s="172">
        <v>3896</v>
      </c>
      <c r="D173" s="172">
        <v>5438</v>
      </c>
      <c r="E173" s="172">
        <v>5241</v>
      </c>
      <c r="F173" s="186"/>
      <c r="G173" s="171">
        <v>5369</v>
      </c>
      <c r="H173" s="167">
        <v>5080</v>
      </c>
      <c r="I173" s="167">
        <v>4500</v>
      </c>
      <c r="J173" s="186"/>
      <c r="K173" s="159">
        <v>5359</v>
      </c>
      <c r="L173" s="159">
        <v>5123</v>
      </c>
      <c r="M173" s="159">
        <v>5565</v>
      </c>
      <c r="N173" s="186"/>
      <c r="O173" s="155">
        <v>5243</v>
      </c>
      <c r="P173" s="155">
        <v>5212</v>
      </c>
      <c r="Q173" s="155">
        <v>5141</v>
      </c>
      <c r="R173" s="186"/>
      <c r="S173" s="27">
        <f t="shared" si="31"/>
        <v>61167</v>
      </c>
    </row>
    <row r="174" spans="2:19" x14ac:dyDescent="0.25">
      <c r="B174" s="23" t="s">
        <v>13</v>
      </c>
      <c r="C174" s="172">
        <v>0</v>
      </c>
      <c r="D174" s="172">
        <v>0</v>
      </c>
      <c r="E174" s="172">
        <v>0</v>
      </c>
      <c r="F174" s="186"/>
      <c r="G174" s="171">
        <v>1670</v>
      </c>
      <c r="H174" s="167">
        <v>2021</v>
      </c>
      <c r="I174" s="167">
        <v>1259</v>
      </c>
      <c r="J174" s="186"/>
      <c r="K174" s="159">
        <v>1841</v>
      </c>
      <c r="L174" s="159">
        <v>1810</v>
      </c>
      <c r="M174" s="159">
        <v>1669</v>
      </c>
      <c r="N174" s="186"/>
      <c r="O174" s="155">
        <v>1943</v>
      </c>
      <c r="P174" s="155">
        <v>2049</v>
      </c>
      <c r="Q174" s="155">
        <v>1529</v>
      </c>
      <c r="R174" s="186"/>
      <c r="S174" s="27">
        <f t="shared" si="31"/>
        <v>15791</v>
      </c>
    </row>
    <row r="175" spans="2:19" x14ac:dyDescent="0.25">
      <c r="B175" s="23" t="s">
        <v>14</v>
      </c>
      <c r="C175" s="29">
        <v>3</v>
      </c>
      <c r="D175" s="29"/>
      <c r="E175" s="29"/>
      <c r="F175" s="186"/>
      <c r="G175" s="31">
        <v>7</v>
      </c>
      <c r="H175" s="29"/>
      <c r="I175" s="29"/>
      <c r="J175" s="186"/>
      <c r="K175" s="29">
        <v>263</v>
      </c>
      <c r="L175" s="29">
        <v>83</v>
      </c>
      <c r="M175" s="29">
        <v>6</v>
      </c>
      <c r="N175" s="186"/>
      <c r="O175" s="29"/>
      <c r="P175" s="29">
        <v>1</v>
      </c>
      <c r="Q175" s="29">
        <v>268</v>
      </c>
      <c r="R175" s="186"/>
      <c r="S175" s="27">
        <f t="shared" si="31"/>
        <v>631</v>
      </c>
    </row>
    <row r="176" spans="2:19" x14ac:dyDescent="0.25">
      <c r="B176" s="23" t="s">
        <v>15</v>
      </c>
      <c r="C176" s="29">
        <f>SUM(C162:C175)</f>
        <v>171245</v>
      </c>
      <c r="D176" s="29">
        <f t="shared" ref="D176:E176" si="32">SUM(D162:D175)</f>
        <v>196711</v>
      </c>
      <c r="E176" s="29">
        <f t="shared" si="32"/>
        <v>215615</v>
      </c>
      <c r="F176" s="187"/>
      <c r="G176" s="25">
        <f>SUM(G162:G175)</f>
        <v>209130</v>
      </c>
      <c r="H176" s="31">
        <f>SUM(H162:H175)</f>
        <v>189846</v>
      </c>
      <c r="I176" s="31">
        <f>SUM(I162:I175)</f>
        <v>153850</v>
      </c>
      <c r="J176" s="187"/>
      <c r="K176" s="31">
        <f>SUM(K162:K175)</f>
        <v>165307</v>
      </c>
      <c r="L176" s="31">
        <f>SUM(L162:L175)</f>
        <v>183948</v>
      </c>
      <c r="M176" s="31">
        <f>SUM(M162:M175)</f>
        <v>187542</v>
      </c>
      <c r="N176" s="187"/>
      <c r="O176" s="31">
        <f>SUM(O162:O175)</f>
        <v>189731</v>
      </c>
      <c r="P176" s="31">
        <f>SUM(P162:P175)</f>
        <v>168591</v>
      </c>
      <c r="Q176" s="31">
        <f>SUM(Q162:Q175)</f>
        <v>158096</v>
      </c>
      <c r="R176" s="187"/>
      <c r="S176" s="52">
        <f t="shared" si="31"/>
        <v>2189612</v>
      </c>
    </row>
    <row r="177" spans="2:19" x14ac:dyDescent="0.25">
      <c r="D177" s="181" t="s">
        <v>25</v>
      </c>
      <c r="E177" s="181"/>
      <c r="F177" s="34">
        <f>SUM(C176:E176)</f>
        <v>583571</v>
      </c>
      <c r="G177" s="189" t="s">
        <v>20</v>
      </c>
      <c r="H177" s="189"/>
      <c r="I177" s="189"/>
      <c r="J177" s="56">
        <f>SUM(G176:I176)</f>
        <v>552826</v>
      </c>
      <c r="K177" s="188" t="s">
        <v>27</v>
      </c>
      <c r="L177" s="188"/>
      <c r="M177" s="188"/>
      <c r="N177" s="57">
        <f>SUM(K176:M176)</f>
        <v>536797</v>
      </c>
      <c r="O177" s="184" t="s">
        <v>28</v>
      </c>
      <c r="P177" s="184"/>
      <c r="Q177" s="184"/>
      <c r="R177" s="58">
        <f>SUM(O176:Q176)</f>
        <v>516418</v>
      </c>
    </row>
    <row r="180" spans="2:19" ht="26.25" x14ac:dyDescent="0.4">
      <c r="B180" s="180" t="s">
        <v>22</v>
      </c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</row>
    <row r="181" spans="2:19" ht="15" customHeight="1" x14ac:dyDescent="0.25">
      <c r="B181" s="1" t="s">
        <v>22</v>
      </c>
      <c r="C181" s="19">
        <v>42186</v>
      </c>
      <c r="D181" s="19">
        <v>42217</v>
      </c>
      <c r="E181" s="19">
        <v>42248</v>
      </c>
      <c r="F181" s="185" t="s">
        <v>18</v>
      </c>
      <c r="G181" s="19">
        <v>42278</v>
      </c>
      <c r="H181" s="19">
        <v>42309</v>
      </c>
      <c r="I181" s="19">
        <v>42339</v>
      </c>
      <c r="J181" s="185" t="s">
        <v>19</v>
      </c>
      <c r="K181" s="19">
        <v>42370</v>
      </c>
      <c r="L181" s="19">
        <v>42401</v>
      </c>
      <c r="M181" s="19">
        <v>42430</v>
      </c>
      <c r="N181" s="185" t="s">
        <v>24</v>
      </c>
      <c r="O181" s="19">
        <v>42461</v>
      </c>
      <c r="P181" s="19">
        <v>42491</v>
      </c>
      <c r="Q181" s="19">
        <v>42522</v>
      </c>
      <c r="R181" s="185" t="s">
        <v>26</v>
      </c>
      <c r="S181" s="28"/>
    </row>
    <row r="182" spans="2:19" x14ac:dyDescent="0.25">
      <c r="B182" s="44" t="s">
        <v>1</v>
      </c>
      <c r="C182" s="45">
        <v>50888</v>
      </c>
      <c r="D182" s="45">
        <v>55066</v>
      </c>
      <c r="E182" s="45">
        <v>83866</v>
      </c>
      <c r="F182" s="186"/>
      <c r="G182" s="24">
        <v>81286</v>
      </c>
      <c r="H182" s="45">
        <v>67260</v>
      </c>
      <c r="I182" s="45">
        <v>55558</v>
      </c>
      <c r="J182" s="186"/>
      <c r="K182" s="45">
        <v>42849</v>
      </c>
      <c r="L182" s="45">
        <v>69839</v>
      </c>
      <c r="M182" s="45">
        <v>67554</v>
      </c>
      <c r="N182" s="186"/>
      <c r="O182" s="45">
        <v>75923</v>
      </c>
      <c r="P182" s="45">
        <v>50587</v>
      </c>
      <c r="Q182" s="45">
        <v>44790</v>
      </c>
      <c r="R182" s="186"/>
      <c r="S182" s="45">
        <f t="shared" ref="S182:S194" si="33">SUM(C182:Q182)</f>
        <v>745466</v>
      </c>
    </row>
    <row r="183" spans="2:19" x14ac:dyDescent="0.25">
      <c r="B183" s="23" t="s">
        <v>2</v>
      </c>
      <c r="C183" s="172">
        <v>4465</v>
      </c>
      <c r="D183" s="172">
        <v>4368</v>
      </c>
      <c r="E183" s="172">
        <v>5659</v>
      </c>
      <c r="F183" s="186"/>
      <c r="G183" s="171">
        <v>5651</v>
      </c>
      <c r="H183" s="167">
        <v>4525</v>
      </c>
      <c r="I183" s="167">
        <v>4071</v>
      </c>
      <c r="J183" s="186"/>
      <c r="K183" s="159">
        <v>3680</v>
      </c>
      <c r="L183" s="159">
        <v>4449</v>
      </c>
      <c r="M183" s="159">
        <v>4999</v>
      </c>
      <c r="N183" s="186"/>
      <c r="O183" s="155">
        <v>4589</v>
      </c>
      <c r="P183" s="155">
        <v>3473</v>
      </c>
      <c r="Q183" s="155">
        <v>3748</v>
      </c>
      <c r="R183" s="186"/>
      <c r="S183" s="27">
        <f t="shared" si="33"/>
        <v>53677</v>
      </c>
    </row>
    <row r="184" spans="2:19" x14ac:dyDescent="0.25">
      <c r="B184" s="23" t="s">
        <v>4</v>
      </c>
      <c r="C184" s="172">
        <v>10926</v>
      </c>
      <c r="D184" s="172">
        <v>10500</v>
      </c>
      <c r="E184" s="172">
        <v>10159</v>
      </c>
      <c r="F184" s="186"/>
      <c r="G184" s="171">
        <v>10982</v>
      </c>
      <c r="H184" s="167">
        <v>9595</v>
      </c>
      <c r="I184" s="167">
        <v>9992</v>
      </c>
      <c r="J184" s="186"/>
      <c r="K184" s="159">
        <v>8854</v>
      </c>
      <c r="L184" s="159">
        <v>9588</v>
      </c>
      <c r="M184" s="159">
        <v>10338</v>
      </c>
      <c r="N184" s="186"/>
      <c r="O184" s="155">
        <v>9602</v>
      </c>
      <c r="P184" s="155">
        <v>9271</v>
      </c>
      <c r="Q184" s="155">
        <v>10457</v>
      </c>
      <c r="R184" s="186"/>
      <c r="S184" s="27">
        <f t="shared" si="33"/>
        <v>120264</v>
      </c>
    </row>
    <row r="185" spans="2:19" x14ac:dyDescent="0.25">
      <c r="B185" s="23" t="s">
        <v>5</v>
      </c>
      <c r="C185" s="172">
        <v>10219</v>
      </c>
      <c r="D185" s="172">
        <v>10721</v>
      </c>
      <c r="E185" s="172">
        <v>11351</v>
      </c>
      <c r="F185" s="186"/>
      <c r="G185" s="171">
        <v>11394</v>
      </c>
      <c r="H185" s="167">
        <v>9675</v>
      </c>
      <c r="I185" s="167">
        <v>9031</v>
      </c>
      <c r="J185" s="186"/>
      <c r="K185" s="159">
        <v>8838</v>
      </c>
      <c r="L185" s="159">
        <v>10699</v>
      </c>
      <c r="M185" s="159">
        <v>10598</v>
      </c>
      <c r="N185" s="186"/>
      <c r="O185" s="155">
        <v>9766</v>
      </c>
      <c r="P185" s="155">
        <v>8441</v>
      </c>
      <c r="Q185" s="155">
        <v>9225</v>
      </c>
      <c r="R185" s="186"/>
      <c r="S185" s="27">
        <f t="shared" si="33"/>
        <v>119958</v>
      </c>
    </row>
    <row r="186" spans="2:19" x14ac:dyDescent="0.25">
      <c r="B186" s="23" t="s">
        <v>6</v>
      </c>
      <c r="C186" s="172">
        <v>22125</v>
      </c>
      <c r="D186" s="173">
        <v>22381</v>
      </c>
      <c r="E186" s="172">
        <v>20269</v>
      </c>
      <c r="F186" s="186"/>
      <c r="G186" s="171">
        <v>21842</v>
      </c>
      <c r="H186" s="167">
        <v>19701</v>
      </c>
      <c r="I186" s="167">
        <v>19628</v>
      </c>
      <c r="J186" s="186"/>
      <c r="K186" s="159">
        <v>16514</v>
      </c>
      <c r="L186" s="159">
        <v>17005</v>
      </c>
      <c r="M186" s="159">
        <v>20718</v>
      </c>
      <c r="N186" s="186"/>
      <c r="O186" s="155">
        <v>19303</v>
      </c>
      <c r="P186" s="155">
        <v>18006</v>
      </c>
      <c r="Q186" s="155">
        <v>17989</v>
      </c>
      <c r="R186" s="186"/>
      <c r="S186" s="27">
        <f t="shared" si="33"/>
        <v>235481</v>
      </c>
    </row>
    <row r="187" spans="2:19" x14ac:dyDescent="0.25">
      <c r="B187" s="23" t="s">
        <v>7</v>
      </c>
      <c r="C187" s="172">
        <v>7844</v>
      </c>
      <c r="D187" s="172">
        <v>7591</v>
      </c>
      <c r="E187" s="172">
        <v>6971</v>
      </c>
      <c r="F187" s="186"/>
      <c r="G187" s="171">
        <v>7636</v>
      </c>
      <c r="H187" s="167">
        <v>6930</v>
      </c>
      <c r="I187" s="167">
        <v>7630</v>
      </c>
      <c r="J187" s="186"/>
      <c r="K187" s="159">
        <v>6241</v>
      </c>
      <c r="L187" s="159">
        <v>6635</v>
      </c>
      <c r="M187" s="159">
        <v>6915</v>
      </c>
      <c r="N187" s="186"/>
      <c r="O187" s="155">
        <v>6553</v>
      </c>
      <c r="P187" s="155">
        <v>6215</v>
      </c>
      <c r="Q187" s="155">
        <v>7283</v>
      </c>
      <c r="R187" s="186"/>
      <c r="S187" s="27">
        <f t="shared" si="33"/>
        <v>84444</v>
      </c>
    </row>
    <row r="188" spans="2:19" x14ac:dyDescent="0.25">
      <c r="B188" s="23" t="s">
        <v>8</v>
      </c>
      <c r="C188" s="172">
        <v>60551</v>
      </c>
      <c r="D188" s="172">
        <v>63512</v>
      </c>
      <c r="E188" s="172">
        <v>67208</v>
      </c>
      <c r="F188" s="186"/>
      <c r="G188" s="169">
        <v>71456</v>
      </c>
      <c r="H188" s="169">
        <v>63403</v>
      </c>
      <c r="I188" s="167">
        <v>60313</v>
      </c>
      <c r="J188" s="186"/>
      <c r="K188" s="159">
        <v>56016</v>
      </c>
      <c r="L188" s="161">
        <v>60838</v>
      </c>
      <c r="M188" s="159">
        <v>67347</v>
      </c>
      <c r="N188" s="186"/>
      <c r="O188" s="155">
        <v>65423</v>
      </c>
      <c r="P188" s="155">
        <v>57500</v>
      </c>
      <c r="Q188" s="155">
        <v>55967</v>
      </c>
      <c r="R188" s="186"/>
      <c r="S188" s="27">
        <f t="shared" si="33"/>
        <v>749534</v>
      </c>
    </row>
    <row r="189" spans="2:19" x14ac:dyDescent="0.25">
      <c r="B189" s="23" t="s">
        <v>9</v>
      </c>
      <c r="C189" s="172">
        <v>8837</v>
      </c>
      <c r="D189" s="172">
        <v>8479</v>
      </c>
      <c r="E189" s="172">
        <v>7919</v>
      </c>
      <c r="F189" s="186"/>
      <c r="G189" s="167">
        <v>8928</v>
      </c>
      <c r="H189" s="167">
        <v>7733</v>
      </c>
      <c r="I189" s="167">
        <v>7901</v>
      </c>
      <c r="J189" s="186"/>
      <c r="K189" s="159">
        <v>6875</v>
      </c>
      <c r="L189" s="159">
        <v>7725</v>
      </c>
      <c r="M189" s="159">
        <v>8378</v>
      </c>
      <c r="N189" s="186"/>
      <c r="O189" s="155">
        <v>7669</v>
      </c>
      <c r="P189" s="155">
        <v>7269</v>
      </c>
      <c r="Q189" s="155">
        <v>9000</v>
      </c>
      <c r="R189" s="186"/>
      <c r="S189" s="27">
        <f t="shared" si="33"/>
        <v>96713</v>
      </c>
    </row>
    <row r="190" spans="2:19" x14ac:dyDescent="0.25">
      <c r="B190" s="23" t="s">
        <v>10</v>
      </c>
      <c r="C190" s="172">
        <v>2195</v>
      </c>
      <c r="D190" s="172">
        <v>2021</v>
      </c>
      <c r="E190" s="172">
        <v>2198</v>
      </c>
      <c r="F190" s="186"/>
      <c r="G190" s="171">
        <v>2358</v>
      </c>
      <c r="H190" s="167">
        <v>2483</v>
      </c>
      <c r="I190" s="167">
        <v>2047</v>
      </c>
      <c r="J190" s="186"/>
      <c r="K190" s="159">
        <v>2092</v>
      </c>
      <c r="L190" s="159">
        <v>2420</v>
      </c>
      <c r="M190" s="159">
        <v>2651</v>
      </c>
      <c r="N190" s="186"/>
      <c r="O190" s="155">
        <v>2272</v>
      </c>
      <c r="P190" s="155">
        <v>2148</v>
      </c>
      <c r="Q190" s="155">
        <v>1966</v>
      </c>
      <c r="R190" s="186"/>
      <c r="S190" s="27">
        <f t="shared" si="33"/>
        <v>26851</v>
      </c>
    </row>
    <row r="191" spans="2:19" x14ac:dyDescent="0.25">
      <c r="B191" s="23" t="s">
        <v>11</v>
      </c>
      <c r="C191" s="172">
        <v>5958</v>
      </c>
      <c r="D191" s="172">
        <v>5586</v>
      </c>
      <c r="E191" s="172">
        <v>5267</v>
      </c>
      <c r="F191" s="186"/>
      <c r="G191" s="171">
        <v>5934</v>
      </c>
      <c r="H191" s="167">
        <v>5276</v>
      </c>
      <c r="I191" s="167">
        <v>5663</v>
      </c>
      <c r="J191" s="186"/>
      <c r="K191" s="159">
        <v>4729</v>
      </c>
      <c r="L191" s="159">
        <v>5035</v>
      </c>
      <c r="M191" s="159">
        <v>6194</v>
      </c>
      <c r="N191" s="186"/>
      <c r="O191" s="155">
        <v>5628</v>
      </c>
      <c r="P191" s="155">
        <v>5346</v>
      </c>
      <c r="Q191" s="155">
        <v>5875</v>
      </c>
      <c r="R191" s="186"/>
      <c r="S191" s="27">
        <f t="shared" si="33"/>
        <v>66491</v>
      </c>
    </row>
    <row r="192" spans="2:19" x14ac:dyDescent="0.25">
      <c r="B192" s="23" t="s">
        <v>12</v>
      </c>
      <c r="C192" s="172">
        <v>5458</v>
      </c>
      <c r="D192" s="172">
        <v>5268</v>
      </c>
      <c r="E192" s="172">
        <v>5045</v>
      </c>
      <c r="F192" s="186"/>
      <c r="G192" s="171">
        <v>5221</v>
      </c>
      <c r="H192" s="167">
        <v>4472</v>
      </c>
      <c r="I192" s="167">
        <v>5105</v>
      </c>
      <c r="J192" s="186"/>
      <c r="K192" s="159">
        <v>4254</v>
      </c>
      <c r="L192" s="159">
        <v>4648</v>
      </c>
      <c r="M192" s="159">
        <v>4944</v>
      </c>
      <c r="N192" s="186"/>
      <c r="O192" s="155">
        <v>4604</v>
      </c>
      <c r="P192" s="155">
        <v>4504</v>
      </c>
      <c r="Q192" s="155">
        <v>4327</v>
      </c>
      <c r="R192" s="186"/>
      <c r="S192" s="27">
        <f t="shared" si="33"/>
        <v>57850</v>
      </c>
    </row>
    <row r="193" spans="2:19" x14ac:dyDescent="0.25">
      <c r="B193" s="23" t="s">
        <v>14</v>
      </c>
      <c r="C193" s="41">
        <v>1</v>
      </c>
      <c r="D193" s="41"/>
      <c r="E193" s="41"/>
      <c r="F193" s="186"/>
      <c r="G193" s="46"/>
      <c r="H193" s="27"/>
      <c r="I193" s="27"/>
      <c r="J193" s="186"/>
      <c r="K193" s="27"/>
      <c r="L193" s="27"/>
      <c r="M193" s="41"/>
      <c r="N193" s="186"/>
      <c r="O193" s="41"/>
      <c r="P193" s="41"/>
      <c r="Q193" s="27"/>
      <c r="R193" s="186"/>
      <c r="S193" s="27">
        <f t="shared" si="33"/>
        <v>1</v>
      </c>
    </row>
    <row r="194" spans="2:19" x14ac:dyDescent="0.25">
      <c r="B194" s="23" t="s">
        <v>15</v>
      </c>
      <c r="C194" s="41">
        <f>SUM(C182:C193)</f>
        <v>189467</v>
      </c>
      <c r="D194" s="41">
        <f t="shared" ref="D194:E194" si="34">SUM(D182:D193)</f>
        <v>195493</v>
      </c>
      <c r="E194" s="41">
        <f t="shared" si="34"/>
        <v>225912</v>
      </c>
      <c r="F194" s="187"/>
      <c r="G194" s="52">
        <f>SUM(G182:G193)</f>
        <v>232688</v>
      </c>
      <c r="H194" s="42">
        <f>SUM(H182:H193)</f>
        <v>201053</v>
      </c>
      <c r="I194" s="42">
        <f>SUM(I182:I193)</f>
        <v>186939</v>
      </c>
      <c r="J194" s="187"/>
      <c r="K194" s="42">
        <f>SUM(K182:K193)</f>
        <v>160942</v>
      </c>
      <c r="L194" s="42">
        <f>SUM(L182:L193)</f>
        <v>198881</v>
      </c>
      <c r="M194" s="43">
        <f>SUM(M182:M193)</f>
        <v>210636</v>
      </c>
      <c r="N194" s="187"/>
      <c r="O194" s="43">
        <f>SUM(O182:O193)</f>
        <v>211332</v>
      </c>
      <c r="P194" s="43">
        <f>SUM(P182:P193)</f>
        <v>172760</v>
      </c>
      <c r="Q194" s="42">
        <f>SUM(Q182:Q193)</f>
        <v>170627</v>
      </c>
      <c r="R194" s="187"/>
      <c r="S194" s="52">
        <f t="shared" si="33"/>
        <v>2356730</v>
      </c>
    </row>
    <row r="195" spans="2:19" x14ac:dyDescent="0.25">
      <c r="D195" s="181" t="s">
        <v>25</v>
      </c>
      <c r="E195" s="181"/>
      <c r="F195" s="34">
        <f>SUM(C194:E194)</f>
        <v>610872</v>
      </c>
      <c r="G195" s="189" t="s">
        <v>20</v>
      </c>
      <c r="H195" s="189"/>
      <c r="I195" s="189"/>
      <c r="J195" s="56">
        <f>SUM(G194:I194)</f>
        <v>620680</v>
      </c>
      <c r="K195" s="188" t="s">
        <v>27</v>
      </c>
      <c r="L195" s="188"/>
      <c r="M195" s="188"/>
      <c r="N195" s="55">
        <f>SUM(K194:M194)</f>
        <v>570459</v>
      </c>
      <c r="O195" s="184" t="s">
        <v>28</v>
      </c>
      <c r="P195" s="184"/>
      <c r="Q195" s="184"/>
      <c r="R195" s="58">
        <f>SUM(O194:Q194)</f>
        <v>554719</v>
      </c>
    </row>
    <row r="196" spans="2:19" x14ac:dyDescent="0.25">
      <c r="F196" s="47"/>
      <c r="G196" s="48"/>
      <c r="H196" s="48"/>
      <c r="I196" s="47"/>
    </row>
    <row r="199" spans="2:19" ht="26.25" x14ac:dyDescent="0.4">
      <c r="B199" s="180" t="s">
        <v>23</v>
      </c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</row>
    <row r="200" spans="2:19" ht="15" customHeight="1" x14ac:dyDescent="0.25">
      <c r="B200" s="1" t="s">
        <v>23</v>
      </c>
      <c r="C200" s="2">
        <v>41821</v>
      </c>
      <c r="D200" s="19">
        <v>41852</v>
      </c>
      <c r="E200" s="19">
        <v>41883</v>
      </c>
      <c r="F200" s="185" t="s">
        <v>18</v>
      </c>
      <c r="G200" s="19">
        <v>41913</v>
      </c>
      <c r="H200" s="19">
        <v>41944</v>
      </c>
      <c r="I200" s="19">
        <v>41974</v>
      </c>
      <c r="J200" s="185" t="s">
        <v>19</v>
      </c>
      <c r="K200" s="19">
        <v>42005</v>
      </c>
      <c r="L200" s="19">
        <v>42036</v>
      </c>
      <c r="M200" s="19">
        <v>42064</v>
      </c>
      <c r="N200" s="185" t="s">
        <v>24</v>
      </c>
      <c r="O200" s="19">
        <v>42095</v>
      </c>
      <c r="P200" s="19">
        <v>42125</v>
      </c>
      <c r="Q200" s="19">
        <v>42156</v>
      </c>
      <c r="R200" s="185" t="s">
        <v>26</v>
      </c>
      <c r="S200" s="28"/>
    </row>
    <row r="201" spans="2:19" x14ac:dyDescent="0.25">
      <c r="B201" s="44" t="s">
        <v>1</v>
      </c>
      <c r="C201" s="50">
        <f>38132+10784</f>
        <v>48916</v>
      </c>
      <c r="D201" s="45">
        <v>51634</v>
      </c>
      <c r="E201" s="45">
        <v>77873</v>
      </c>
      <c r="F201" s="186"/>
      <c r="G201" s="51">
        <v>77536</v>
      </c>
      <c r="H201" s="45">
        <v>69438</v>
      </c>
      <c r="I201" s="45">
        <v>49090</v>
      </c>
      <c r="J201" s="186"/>
      <c r="K201" s="45">
        <v>61564</v>
      </c>
      <c r="L201" s="45">
        <v>78184</v>
      </c>
      <c r="M201" s="45">
        <v>70105</v>
      </c>
      <c r="N201" s="186"/>
      <c r="O201" s="45">
        <f>67976+20247</f>
        <v>88223</v>
      </c>
      <c r="P201" s="45">
        <f>38813+11313</f>
        <v>50126</v>
      </c>
      <c r="Q201" s="45">
        <f>36919+22301</f>
        <v>59220</v>
      </c>
      <c r="R201" s="186"/>
      <c r="S201" s="45">
        <f t="shared" ref="S201:S213" si="35">SUM(C201:Q201)</f>
        <v>781909</v>
      </c>
    </row>
    <row r="202" spans="2:19" x14ac:dyDescent="0.25">
      <c r="B202" s="23" t="s">
        <v>2</v>
      </c>
      <c r="C202" s="174">
        <v>3485</v>
      </c>
      <c r="D202" s="172">
        <v>3912</v>
      </c>
      <c r="E202" s="172">
        <v>5671</v>
      </c>
      <c r="F202" s="186"/>
      <c r="G202" s="167">
        <v>5703</v>
      </c>
      <c r="H202" s="167">
        <v>4323</v>
      </c>
      <c r="I202" s="167">
        <v>4207</v>
      </c>
      <c r="J202" s="186"/>
      <c r="K202" s="159">
        <v>4265</v>
      </c>
      <c r="L202" s="159">
        <v>4755</v>
      </c>
      <c r="M202" s="159">
        <v>4549</v>
      </c>
      <c r="N202" s="186"/>
      <c r="O202" s="155">
        <v>5049</v>
      </c>
      <c r="P202" s="155">
        <v>2871</v>
      </c>
      <c r="Q202" s="155">
        <v>2853</v>
      </c>
      <c r="R202" s="186"/>
      <c r="S202" s="27">
        <f t="shared" si="35"/>
        <v>51643</v>
      </c>
    </row>
    <row r="203" spans="2:19" x14ac:dyDescent="0.25">
      <c r="B203" s="23" t="s">
        <v>4</v>
      </c>
      <c r="C203" s="174">
        <v>10783</v>
      </c>
      <c r="D203" s="172">
        <v>10620</v>
      </c>
      <c r="E203" s="172">
        <v>11019</v>
      </c>
      <c r="F203" s="186"/>
      <c r="G203" s="167">
        <v>11020</v>
      </c>
      <c r="H203" s="167">
        <v>8316</v>
      </c>
      <c r="I203" s="167">
        <v>8918</v>
      </c>
      <c r="J203" s="186"/>
      <c r="K203" s="159">
        <v>9017</v>
      </c>
      <c r="L203" s="159">
        <v>8019</v>
      </c>
      <c r="M203" s="159">
        <v>9322</v>
      </c>
      <c r="N203" s="186"/>
      <c r="O203" s="155">
        <v>9681</v>
      </c>
      <c r="P203" s="155">
        <v>9339</v>
      </c>
      <c r="Q203" s="155">
        <v>8008</v>
      </c>
      <c r="R203" s="186"/>
      <c r="S203" s="27">
        <f t="shared" si="35"/>
        <v>114062</v>
      </c>
    </row>
    <row r="204" spans="2:19" x14ac:dyDescent="0.25">
      <c r="B204" s="23" t="s">
        <v>5</v>
      </c>
      <c r="C204" s="174">
        <v>9308</v>
      </c>
      <c r="D204" s="172">
        <v>9533</v>
      </c>
      <c r="E204" s="172">
        <v>8998</v>
      </c>
      <c r="F204" s="186"/>
      <c r="G204" s="167">
        <v>10044</v>
      </c>
      <c r="H204" s="167">
        <v>7753</v>
      </c>
      <c r="I204" s="167">
        <v>8210</v>
      </c>
      <c r="J204" s="186"/>
      <c r="K204" s="159">
        <v>9006</v>
      </c>
      <c r="L204" s="159">
        <v>8641</v>
      </c>
      <c r="M204" s="159">
        <v>9238</v>
      </c>
      <c r="N204" s="186"/>
      <c r="O204" s="155">
        <v>9774</v>
      </c>
      <c r="P204" s="155">
        <v>8738</v>
      </c>
      <c r="Q204" s="155">
        <v>7841</v>
      </c>
      <c r="R204" s="186"/>
      <c r="S204" s="27">
        <f t="shared" si="35"/>
        <v>107084</v>
      </c>
    </row>
    <row r="205" spans="2:19" x14ac:dyDescent="0.25">
      <c r="B205" s="23" t="s">
        <v>6</v>
      </c>
      <c r="C205" s="174">
        <v>21439</v>
      </c>
      <c r="D205" s="173">
        <v>23224</v>
      </c>
      <c r="E205" s="172">
        <v>23286</v>
      </c>
      <c r="F205" s="186"/>
      <c r="G205" s="167">
        <v>24090</v>
      </c>
      <c r="H205" s="167">
        <v>20467</v>
      </c>
      <c r="I205" s="167">
        <v>21384</v>
      </c>
      <c r="J205" s="186"/>
      <c r="K205" s="159">
        <v>19780</v>
      </c>
      <c r="L205" s="159">
        <v>18222</v>
      </c>
      <c r="M205" s="159">
        <v>20431</v>
      </c>
      <c r="N205" s="186"/>
      <c r="O205" s="155">
        <v>22443</v>
      </c>
      <c r="P205" s="155">
        <v>20821</v>
      </c>
      <c r="Q205" s="155">
        <v>19435</v>
      </c>
      <c r="R205" s="186"/>
      <c r="S205" s="27">
        <f t="shared" si="35"/>
        <v>255022</v>
      </c>
    </row>
    <row r="206" spans="2:19" x14ac:dyDescent="0.25">
      <c r="B206" s="23" t="s">
        <v>7</v>
      </c>
      <c r="C206" s="174">
        <v>8456</v>
      </c>
      <c r="D206" s="172">
        <v>7406</v>
      </c>
      <c r="E206" s="172">
        <v>7692</v>
      </c>
      <c r="F206" s="186"/>
      <c r="G206" s="167">
        <v>8145</v>
      </c>
      <c r="H206" s="167">
        <v>7259</v>
      </c>
      <c r="I206" s="167">
        <v>7718</v>
      </c>
      <c r="J206" s="186"/>
      <c r="K206" s="159">
        <v>7541</v>
      </c>
      <c r="L206" s="159">
        <v>6668</v>
      </c>
      <c r="M206" s="159">
        <v>7098</v>
      </c>
      <c r="N206" s="186"/>
      <c r="O206" s="155">
        <v>7862</v>
      </c>
      <c r="P206" s="155">
        <v>7283</v>
      </c>
      <c r="Q206" s="155">
        <v>7096</v>
      </c>
      <c r="R206" s="186"/>
      <c r="S206" s="27">
        <f t="shared" si="35"/>
        <v>90224</v>
      </c>
    </row>
    <row r="207" spans="2:19" x14ac:dyDescent="0.25">
      <c r="B207" s="23" t="s">
        <v>8</v>
      </c>
      <c r="C207" s="174">
        <v>63039</v>
      </c>
      <c r="D207" s="172">
        <v>64206</v>
      </c>
      <c r="E207" s="172">
        <v>72975</v>
      </c>
      <c r="F207" s="186"/>
      <c r="G207" s="167">
        <v>76185</v>
      </c>
      <c r="H207" s="169">
        <v>65287</v>
      </c>
      <c r="I207" s="167">
        <v>63390</v>
      </c>
      <c r="J207" s="186"/>
      <c r="K207" s="159">
        <v>68108</v>
      </c>
      <c r="L207" s="161">
        <v>63922</v>
      </c>
      <c r="M207" s="159">
        <v>67892</v>
      </c>
      <c r="N207" s="186"/>
      <c r="O207" s="155">
        <v>70071</v>
      </c>
      <c r="P207" s="155">
        <v>61426</v>
      </c>
      <c r="Q207" s="155">
        <v>50639</v>
      </c>
      <c r="R207" s="186"/>
      <c r="S207" s="27">
        <f t="shared" si="35"/>
        <v>787140</v>
      </c>
    </row>
    <row r="208" spans="2:19" x14ac:dyDescent="0.25">
      <c r="B208" s="23" t="s">
        <v>9</v>
      </c>
      <c r="C208" s="174">
        <v>9068</v>
      </c>
      <c r="D208" s="172">
        <v>8294</v>
      </c>
      <c r="E208" s="172">
        <v>7864</v>
      </c>
      <c r="F208" s="186"/>
      <c r="G208" s="167">
        <v>8265</v>
      </c>
      <c r="H208" s="167">
        <v>6587</v>
      </c>
      <c r="I208" s="167">
        <v>6965</v>
      </c>
      <c r="J208" s="186"/>
      <c r="K208" s="159">
        <v>6820</v>
      </c>
      <c r="L208" s="159">
        <v>6395</v>
      </c>
      <c r="M208" s="159">
        <v>7497</v>
      </c>
      <c r="N208" s="186"/>
      <c r="O208" s="155">
        <v>7717</v>
      </c>
      <c r="P208" s="155">
        <v>7779</v>
      </c>
      <c r="Q208" s="155">
        <v>7433</v>
      </c>
      <c r="R208" s="186"/>
      <c r="S208" s="27">
        <f t="shared" si="35"/>
        <v>90684</v>
      </c>
    </row>
    <row r="209" spans="2:19" x14ac:dyDescent="0.25">
      <c r="B209" s="23" t="s">
        <v>10</v>
      </c>
      <c r="C209" s="174">
        <v>2046</v>
      </c>
      <c r="D209" s="172">
        <v>2149</v>
      </c>
      <c r="E209" s="172">
        <v>2286</v>
      </c>
      <c r="F209" s="186"/>
      <c r="G209" s="167">
        <v>2387</v>
      </c>
      <c r="H209" s="167">
        <v>1903</v>
      </c>
      <c r="I209" s="167">
        <v>2072</v>
      </c>
      <c r="J209" s="186"/>
      <c r="K209" s="159">
        <v>2121</v>
      </c>
      <c r="L209" s="159">
        <v>2146</v>
      </c>
      <c r="M209" s="159">
        <v>2303</v>
      </c>
      <c r="N209" s="186"/>
      <c r="O209" s="155">
        <v>2279</v>
      </c>
      <c r="P209" s="155">
        <v>2201</v>
      </c>
      <c r="Q209" s="155">
        <v>1852</v>
      </c>
      <c r="R209" s="186"/>
      <c r="S209" s="27">
        <f t="shared" si="35"/>
        <v>25745</v>
      </c>
    </row>
    <row r="210" spans="2:19" x14ac:dyDescent="0.25">
      <c r="B210" s="23" t="s">
        <v>11</v>
      </c>
      <c r="C210" s="174">
        <v>5527</v>
      </c>
      <c r="D210" s="172">
        <v>5661</v>
      </c>
      <c r="E210" s="172">
        <v>6040</v>
      </c>
      <c r="F210" s="186"/>
      <c r="G210" s="167">
        <v>6351</v>
      </c>
      <c r="H210" s="167">
        <v>5318</v>
      </c>
      <c r="I210" s="167">
        <v>5683</v>
      </c>
      <c r="J210" s="186"/>
      <c r="K210" s="159">
        <v>5308</v>
      </c>
      <c r="L210" s="159">
        <v>4720</v>
      </c>
      <c r="M210" s="159">
        <v>5130</v>
      </c>
      <c r="N210" s="186"/>
      <c r="O210" s="155">
        <v>5282</v>
      </c>
      <c r="P210" s="155">
        <v>5530</v>
      </c>
      <c r="Q210" s="155">
        <v>4583</v>
      </c>
      <c r="R210" s="186"/>
      <c r="S210" s="27">
        <f t="shared" si="35"/>
        <v>65133</v>
      </c>
    </row>
    <row r="211" spans="2:19" x14ac:dyDescent="0.25">
      <c r="B211" s="23" t="s">
        <v>12</v>
      </c>
      <c r="C211" s="174">
        <v>5503</v>
      </c>
      <c r="D211" s="172">
        <v>4878</v>
      </c>
      <c r="E211" s="172">
        <v>4521</v>
      </c>
      <c r="F211" s="186"/>
      <c r="G211" s="167">
        <v>4790</v>
      </c>
      <c r="H211" s="167">
        <v>4092</v>
      </c>
      <c r="I211" s="167">
        <v>4270</v>
      </c>
      <c r="J211" s="186"/>
      <c r="K211" s="159">
        <v>5584</v>
      </c>
      <c r="L211" s="159">
        <v>4152</v>
      </c>
      <c r="M211" s="159">
        <v>4429</v>
      </c>
      <c r="N211" s="186"/>
      <c r="O211" s="155">
        <v>4514</v>
      </c>
      <c r="P211" s="155">
        <v>4394</v>
      </c>
      <c r="Q211" s="155">
        <v>3906</v>
      </c>
      <c r="R211" s="186"/>
      <c r="S211" s="27">
        <f t="shared" si="35"/>
        <v>55033</v>
      </c>
    </row>
    <row r="212" spans="2:19" x14ac:dyDescent="0.25">
      <c r="B212" s="23" t="s">
        <v>14</v>
      </c>
      <c r="C212" s="49">
        <v>17</v>
      </c>
      <c r="D212" s="27">
        <v>9</v>
      </c>
      <c r="E212" s="27"/>
      <c r="F212" s="186"/>
      <c r="G212" s="46"/>
      <c r="H212" s="27">
        <v>9</v>
      </c>
      <c r="I212" s="27">
        <v>1</v>
      </c>
      <c r="J212" s="186"/>
      <c r="K212" s="27">
        <v>8</v>
      </c>
      <c r="L212" s="27">
        <v>1</v>
      </c>
      <c r="M212" s="27"/>
      <c r="N212" s="186"/>
      <c r="O212" s="29">
        <v>1</v>
      </c>
      <c r="P212" s="27"/>
      <c r="Q212" s="27">
        <v>15</v>
      </c>
      <c r="R212" s="186"/>
      <c r="S212" s="27">
        <f t="shared" si="35"/>
        <v>61</v>
      </c>
    </row>
    <row r="213" spans="2:19" x14ac:dyDescent="0.25">
      <c r="B213" s="23" t="s">
        <v>15</v>
      </c>
      <c r="C213" s="54">
        <f t="shared" ref="C213:E213" si="36">SUM(C201:C212)</f>
        <v>187587</v>
      </c>
      <c r="D213" s="52">
        <f t="shared" si="36"/>
        <v>191526</v>
      </c>
      <c r="E213" s="52">
        <f t="shared" si="36"/>
        <v>228225</v>
      </c>
      <c r="F213" s="187"/>
      <c r="G213" s="52">
        <f>SUM(G201:G212)</f>
        <v>234516</v>
      </c>
      <c r="H213" s="52">
        <f>SUM(H201:H212)</f>
        <v>200752</v>
      </c>
      <c r="I213" s="52">
        <f>SUM(I201:I212)</f>
        <v>181908</v>
      </c>
      <c r="J213" s="187"/>
      <c r="K213" s="52">
        <f>SUM(K201:K212)</f>
        <v>199122</v>
      </c>
      <c r="L213" s="52">
        <f>SUM(L201:L212)</f>
        <v>205825</v>
      </c>
      <c r="M213" s="52">
        <f>SUM(M201:M212)</f>
        <v>207994</v>
      </c>
      <c r="N213" s="187"/>
      <c r="O213" s="52">
        <f>SUM(O201:O212)</f>
        <v>232896</v>
      </c>
      <c r="P213" s="52">
        <f>SUM(P201:P212)</f>
        <v>180508</v>
      </c>
      <c r="Q213" s="52">
        <f>SUM(Q201:Q212)</f>
        <v>172881</v>
      </c>
      <c r="R213" s="187"/>
      <c r="S213" s="52">
        <f t="shared" si="35"/>
        <v>2423740</v>
      </c>
    </row>
    <row r="214" spans="2:19" x14ac:dyDescent="0.25">
      <c r="D214" s="181" t="s">
        <v>25</v>
      </c>
      <c r="E214" s="181"/>
      <c r="F214" s="34">
        <f>SUM(C213:E213)</f>
        <v>607338</v>
      </c>
      <c r="G214" s="189" t="s">
        <v>20</v>
      </c>
      <c r="H214" s="189"/>
      <c r="I214" s="189"/>
      <c r="J214" s="56">
        <f>SUM(G213:I213)</f>
        <v>617176</v>
      </c>
      <c r="K214" s="188" t="s">
        <v>27</v>
      </c>
      <c r="L214" s="188"/>
      <c r="M214" s="188"/>
      <c r="N214" s="55">
        <f>SUM(K213:M213)</f>
        <v>612941</v>
      </c>
      <c r="O214" s="184" t="s">
        <v>28</v>
      </c>
      <c r="P214" s="184"/>
      <c r="Q214" s="184"/>
      <c r="R214" s="58">
        <f>SUM(O213:Q213)</f>
        <v>586285</v>
      </c>
    </row>
    <row r="217" spans="2:19" ht="26.25" x14ac:dyDescent="0.4">
      <c r="B217" s="180" t="s">
        <v>34</v>
      </c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</row>
    <row r="218" spans="2:19" x14ac:dyDescent="0.25">
      <c r="B218" s="1" t="s">
        <v>34</v>
      </c>
      <c r="C218" s="19">
        <v>42552</v>
      </c>
      <c r="D218" s="19">
        <v>42583</v>
      </c>
      <c r="E218" s="19">
        <v>42614</v>
      </c>
      <c r="F218" s="185" t="s">
        <v>18</v>
      </c>
      <c r="G218" s="19">
        <v>42644</v>
      </c>
      <c r="H218" s="19">
        <v>42675</v>
      </c>
      <c r="I218" s="19">
        <v>42705</v>
      </c>
      <c r="J218" s="185" t="s">
        <v>19</v>
      </c>
      <c r="K218" s="19">
        <v>42736</v>
      </c>
      <c r="L218" s="19">
        <v>42767</v>
      </c>
      <c r="M218" s="19">
        <v>42795</v>
      </c>
      <c r="N218" s="185" t="s">
        <v>24</v>
      </c>
      <c r="O218" s="19">
        <v>42826</v>
      </c>
      <c r="P218" s="19">
        <v>42856</v>
      </c>
      <c r="Q218" s="19">
        <v>42887</v>
      </c>
      <c r="R218" s="185" t="s">
        <v>26</v>
      </c>
      <c r="S218" s="28"/>
    </row>
    <row r="219" spans="2:19" x14ac:dyDescent="0.25">
      <c r="B219" s="4" t="s">
        <v>1</v>
      </c>
      <c r="C219" s="20">
        <v>58631</v>
      </c>
      <c r="D219" s="20">
        <v>59850</v>
      </c>
      <c r="E219" s="20">
        <v>82550</v>
      </c>
      <c r="F219" s="186"/>
      <c r="G219" s="40">
        <v>79107</v>
      </c>
      <c r="H219" s="20">
        <v>70210</v>
      </c>
      <c r="I219" s="20">
        <v>43839</v>
      </c>
      <c r="J219" s="186"/>
      <c r="K219" s="20">
        <v>51966</v>
      </c>
      <c r="L219" s="20">
        <v>67536</v>
      </c>
      <c r="M219" s="20">
        <v>63829</v>
      </c>
      <c r="N219" s="186"/>
      <c r="O219" s="20">
        <v>72327</v>
      </c>
      <c r="P219" s="20">
        <v>49607</v>
      </c>
      <c r="Q219" s="20">
        <v>38262</v>
      </c>
      <c r="R219" s="186"/>
      <c r="S219" s="20">
        <f t="shared" ref="S219:S233" si="37">SUM(C219:Q219)</f>
        <v>737714</v>
      </c>
    </row>
    <row r="220" spans="2:19" x14ac:dyDescent="0.25">
      <c r="B220" s="23" t="s">
        <v>2</v>
      </c>
      <c r="C220" s="29">
        <v>3237</v>
      </c>
      <c r="D220" s="29">
        <v>4362</v>
      </c>
      <c r="E220" s="29">
        <v>5133</v>
      </c>
      <c r="F220" s="186"/>
      <c r="G220" s="171">
        <v>4714</v>
      </c>
      <c r="H220" s="167">
        <v>4225</v>
      </c>
      <c r="I220" s="167">
        <v>3063</v>
      </c>
      <c r="J220" s="186"/>
      <c r="K220" s="159">
        <v>3799</v>
      </c>
      <c r="L220" s="159">
        <v>3901</v>
      </c>
      <c r="M220" s="159">
        <v>3744</v>
      </c>
      <c r="N220" s="186"/>
      <c r="O220" s="155">
        <v>3605</v>
      </c>
      <c r="P220" s="155">
        <v>2941</v>
      </c>
      <c r="Q220" s="155">
        <v>3238</v>
      </c>
      <c r="R220" s="186"/>
      <c r="S220" s="27">
        <f t="shared" si="37"/>
        <v>45962</v>
      </c>
    </row>
    <row r="221" spans="2:19" x14ac:dyDescent="0.25">
      <c r="B221" s="23" t="s">
        <v>3</v>
      </c>
      <c r="C221" s="29">
        <v>0</v>
      </c>
      <c r="D221" s="29"/>
      <c r="E221" s="29"/>
      <c r="F221" s="186"/>
      <c r="G221" s="171">
        <v>1267</v>
      </c>
      <c r="H221" s="167">
        <v>2547</v>
      </c>
      <c r="I221" s="167">
        <v>2958</v>
      </c>
      <c r="J221" s="186"/>
      <c r="K221" s="159">
        <v>3072</v>
      </c>
      <c r="L221" s="159">
        <v>3108</v>
      </c>
      <c r="M221" s="159">
        <v>3605</v>
      </c>
      <c r="N221" s="186"/>
      <c r="O221" s="155">
        <v>3744</v>
      </c>
      <c r="P221" s="155">
        <v>3962</v>
      </c>
      <c r="Q221" s="155">
        <v>4240</v>
      </c>
      <c r="R221" s="186"/>
      <c r="S221" s="27">
        <f t="shared" si="37"/>
        <v>28503</v>
      </c>
    </row>
    <row r="222" spans="2:19" x14ac:dyDescent="0.25">
      <c r="B222" s="23" t="s">
        <v>4</v>
      </c>
      <c r="C222" s="29">
        <v>9444</v>
      </c>
      <c r="D222" s="29">
        <v>11634</v>
      </c>
      <c r="E222" s="29">
        <v>10707</v>
      </c>
      <c r="F222" s="186"/>
      <c r="G222" s="171">
        <v>9489</v>
      </c>
      <c r="H222" s="167">
        <v>8416</v>
      </c>
      <c r="I222" s="167">
        <v>7582</v>
      </c>
      <c r="J222" s="186"/>
      <c r="K222" s="159">
        <v>7708</v>
      </c>
      <c r="L222" s="159">
        <v>8081</v>
      </c>
      <c r="M222" s="159">
        <v>9177</v>
      </c>
      <c r="N222" s="186"/>
      <c r="O222" s="155">
        <v>8742</v>
      </c>
      <c r="P222" s="155">
        <v>9354</v>
      </c>
      <c r="Q222" s="155">
        <v>9814</v>
      </c>
      <c r="R222" s="186"/>
      <c r="S222" s="27">
        <f t="shared" si="37"/>
        <v>110148</v>
      </c>
    </row>
    <row r="223" spans="2:19" x14ac:dyDescent="0.25">
      <c r="B223" s="23" t="s">
        <v>5</v>
      </c>
      <c r="C223" s="29">
        <v>9172</v>
      </c>
      <c r="D223" s="29">
        <v>11338</v>
      </c>
      <c r="E223" s="29">
        <v>10900</v>
      </c>
      <c r="F223" s="186"/>
      <c r="G223" s="171">
        <v>10584</v>
      </c>
      <c r="H223" s="167">
        <v>9999</v>
      </c>
      <c r="I223" s="167">
        <v>7518</v>
      </c>
      <c r="J223" s="186"/>
      <c r="K223" s="159">
        <v>9392</v>
      </c>
      <c r="L223" s="159">
        <v>9129</v>
      </c>
      <c r="M223" s="159">
        <v>10426</v>
      </c>
      <c r="N223" s="186"/>
      <c r="O223" s="155">
        <v>9173</v>
      </c>
      <c r="P223" s="155">
        <v>9759</v>
      </c>
      <c r="Q223" s="155">
        <v>10297</v>
      </c>
      <c r="R223" s="186"/>
      <c r="S223" s="27">
        <f t="shared" si="37"/>
        <v>117687</v>
      </c>
    </row>
    <row r="224" spans="2:19" x14ac:dyDescent="0.25">
      <c r="B224" s="23" t="s">
        <v>6</v>
      </c>
      <c r="C224" s="29">
        <v>16624</v>
      </c>
      <c r="D224" s="38">
        <v>20594</v>
      </c>
      <c r="E224" s="29">
        <v>19759</v>
      </c>
      <c r="F224" s="186"/>
      <c r="G224" s="171">
        <v>19438</v>
      </c>
      <c r="H224" s="167">
        <v>17834</v>
      </c>
      <c r="I224" s="167">
        <v>18094</v>
      </c>
      <c r="J224" s="186"/>
      <c r="K224" s="159">
        <v>16987</v>
      </c>
      <c r="L224" s="159">
        <v>17125</v>
      </c>
      <c r="M224" s="159">
        <v>18391</v>
      </c>
      <c r="N224" s="186"/>
      <c r="O224" s="155">
        <v>18163</v>
      </c>
      <c r="P224" s="155">
        <v>18664</v>
      </c>
      <c r="Q224" s="155">
        <v>18913</v>
      </c>
      <c r="R224" s="186"/>
      <c r="S224" s="27">
        <f t="shared" si="37"/>
        <v>220586</v>
      </c>
    </row>
    <row r="225" spans="2:19" x14ac:dyDescent="0.25">
      <c r="B225" s="23" t="s">
        <v>7</v>
      </c>
      <c r="C225" s="29">
        <v>6159</v>
      </c>
      <c r="D225" s="29">
        <v>7394</v>
      </c>
      <c r="E225" s="29">
        <v>6379</v>
      </c>
      <c r="F225" s="186"/>
      <c r="G225" s="171">
        <v>6474</v>
      </c>
      <c r="H225" s="167">
        <v>6097</v>
      </c>
      <c r="I225" s="167">
        <v>6098</v>
      </c>
      <c r="J225" s="186"/>
      <c r="K225" s="159">
        <v>6195</v>
      </c>
      <c r="L225" s="159">
        <v>6299</v>
      </c>
      <c r="M225" s="159">
        <v>6527</v>
      </c>
      <c r="N225" s="186"/>
      <c r="O225" s="155">
        <v>5909</v>
      </c>
      <c r="P225" s="155">
        <v>6295</v>
      </c>
      <c r="Q225" s="155">
        <v>6386</v>
      </c>
      <c r="R225" s="186"/>
      <c r="S225" s="27">
        <f t="shared" si="37"/>
        <v>76212</v>
      </c>
    </row>
    <row r="226" spans="2:19" x14ac:dyDescent="0.25">
      <c r="B226" s="23" t="s">
        <v>8</v>
      </c>
      <c r="C226" s="29">
        <v>48553</v>
      </c>
      <c r="D226" s="29">
        <v>57879</v>
      </c>
      <c r="E226" s="29">
        <v>57713</v>
      </c>
      <c r="F226" s="186"/>
      <c r="G226" s="169">
        <v>53990</v>
      </c>
      <c r="H226" s="169">
        <v>47613</v>
      </c>
      <c r="I226" s="167">
        <v>43561</v>
      </c>
      <c r="J226" s="186"/>
      <c r="K226" s="159">
        <v>43285</v>
      </c>
      <c r="L226" s="161">
        <v>46255</v>
      </c>
      <c r="M226" s="159">
        <v>48469</v>
      </c>
      <c r="N226" s="186"/>
      <c r="O226" s="155">
        <v>46372</v>
      </c>
      <c r="P226" s="155">
        <v>44923</v>
      </c>
      <c r="Q226" s="155">
        <v>43694</v>
      </c>
      <c r="R226" s="186"/>
      <c r="S226" s="27">
        <f t="shared" si="37"/>
        <v>582307</v>
      </c>
    </row>
    <row r="227" spans="2:19" x14ac:dyDescent="0.25">
      <c r="B227" s="23" t="s">
        <v>9</v>
      </c>
      <c r="C227" s="29">
        <v>8184</v>
      </c>
      <c r="D227" s="29">
        <v>9340</v>
      </c>
      <c r="E227" s="29">
        <v>8527</v>
      </c>
      <c r="F227" s="186"/>
      <c r="G227" s="167">
        <v>8620</v>
      </c>
      <c r="H227" s="167">
        <v>7889</v>
      </c>
      <c r="I227" s="167">
        <v>8405</v>
      </c>
      <c r="J227" s="186"/>
      <c r="K227" s="159">
        <v>7775</v>
      </c>
      <c r="L227" s="159">
        <v>7576</v>
      </c>
      <c r="M227" s="159">
        <v>8093</v>
      </c>
      <c r="N227" s="186"/>
      <c r="O227" s="155">
        <v>7343</v>
      </c>
      <c r="P227" s="155">
        <v>8307</v>
      </c>
      <c r="Q227" s="155">
        <v>8859</v>
      </c>
      <c r="R227" s="186"/>
      <c r="S227" s="27">
        <f t="shared" si="37"/>
        <v>98918</v>
      </c>
    </row>
    <row r="228" spans="2:19" x14ac:dyDescent="0.25">
      <c r="B228" s="23" t="s">
        <v>10</v>
      </c>
      <c r="C228" s="29">
        <v>1986</v>
      </c>
      <c r="D228" s="29">
        <v>2453</v>
      </c>
      <c r="E228" s="29">
        <v>2772</v>
      </c>
      <c r="F228" s="186"/>
      <c r="G228" s="171">
        <v>2728</v>
      </c>
      <c r="H228" s="167">
        <v>2437</v>
      </c>
      <c r="I228" s="167">
        <v>1965</v>
      </c>
      <c r="J228" s="186"/>
      <c r="K228" s="159">
        <v>2369</v>
      </c>
      <c r="L228" s="159">
        <v>2613</v>
      </c>
      <c r="M228" s="159">
        <v>2768</v>
      </c>
      <c r="N228" s="186"/>
      <c r="O228" s="155">
        <v>2366</v>
      </c>
      <c r="P228" s="155">
        <v>2478</v>
      </c>
      <c r="Q228" s="155">
        <v>2285</v>
      </c>
      <c r="R228" s="186"/>
      <c r="S228" s="27">
        <f t="shared" si="37"/>
        <v>29220</v>
      </c>
    </row>
    <row r="229" spans="2:19" x14ac:dyDescent="0.25">
      <c r="B229" s="23" t="s">
        <v>11</v>
      </c>
      <c r="C229" s="29">
        <v>5356</v>
      </c>
      <c r="D229" s="29">
        <v>6429</v>
      </c>
      <c r="E229" s="29">
        <v>5934</v>
      </c>
      <c r="F229" s="186"/>
      <c r="G229" s="171">
        <v>5673</v>
      </c>
      <c r="H229" s="167">
        <v>5478</v>
      </c>
      <c r="I229" s="167">
        <v>5008</v>
      </c>
      <c r="J229" s="186"/>
      <c r="K229" s="159">
        <v>5296</v>
      </c>
      <c r="L229" s="159">
        <v>5309</v>
      </c>
      <c r="M229" s="159">
        <v>5273</v>
      </c>
      <c r="N229" s="186"/>
      <c r="O229" s="155">
        <v>4801</v>
      </c>
      <c r="P229" s="155">
        <v>5039</v>
      </c>
      <c r="Q229" s="155">
        <v>5170</v>
      </c>
      <c r="R229" s="186"/>
      <c r="S229" s="27">
        <f t="shared" si="37"/>
        <v>64766</v>
      </c>
    </row>
    <row r="230" spans="2:19" x14ac:dyDescent="0.25">
      <c r="B230" s="23" t="s">
        <v>12</v>
      </c>
      <c r="C230" s="29">
        <v>3896</v>
      </c>
      <c r="D230" s="29">
        <v>5438</v>
      </c>
      <c r="E230" s="29">
        <v>5241</v>
      </c>
      <c r="F230" s="186"/>
      <c r="G230" s="171">
        <v>5369</v>
      </c>
      <c r="H230" s="167">
        <v>5080</v>
      </c>
      <c r="I230" s="167">
        <v>4500</v>
      </c>
      <c r="J230" s="186"/>
      <c r="K230" s="159">
        <v>5359</v>
      </c>
      <c r="L230" s="159">
        <v>5123</v>
      </c>
      <c r="M230" s="159">
        <v>5565</v>
      </c>
      <c r="N230" s="186"/>
      <c r="O230" s="155">
        <v>5243</v>
      </c>
      <c r="P230" s="155">
        <v>5212</v>
      </c>
      <c r="Q230" s="155">
        <v>5141</v>
      </c>
      <c r="R230" s="186"/>
      <c r="S230" s="27">
        <f t="shared" si="37"/>
        <v>61167</v>
      </c>
    </row>
    <row r="231" spans="2:19" x14ac:dyDescent="0.25">
      <c r="B231" s="23" t="s">
        <v>13</v>
      </c>
      <c r="C231" s="29">
        <v>0</v>
      </c>
      <c r="D231" s="29">
        <v>0</v>
      </c>
      <c r="E231" s="29">
        <v>0</v>
      </c>
      <c r="F231" s="186"/>
      <c r="G231" s="171">
        <v>1670</v>
      </c>
      <c r="H231" s="167">
        <v>2021</v>
      </c>
      <c r="I231" s="167">
        <v>1259</v>
      </c>
      <c r="J231" s="186"/>
      <c r="K231" s="159">
        <v>1841</v>
      </c>
      <c r="L231" s="159">
        <v>1810</v>
      </c>
      <c r="M231" s="159">
        <v>1669</v>
      </c>
      <c r="N231" s="186"/>
      <c r="O231" s="155">
        <v>1943</v>
      </c>
      <c r="P231" s="155">
        <v>2049</v>
      </c>
      <c r="Q231" s="155">
        <v>1529</v>
      </c>
      <c r="R231" s="186"/>
      <c r="S231" s="27">
        <f t="shared" si="37"/>
        <v>15791</v>
      </c>
    </row>
    <row r="232" spans="2:19" x14ac:dyDescent="0.25">
      <c r="B232" s="23" t="s">
        <v>14</v>
      </c>
      <c r="C232" s="29">
        <v>3</v>
      </c>
      <c r="D232" s="29"/>
      <c r="E232" s="29"/>
      <c r="F232" s="186"/>
      <c r="G232" s="31">
        <v>7</v>
      </c>
      <c r="H232" s="29"/>
      <c r="I232" s="29"/>
      <c r="J232" s="186"/>
      <c r="K232" s="29">
        <v>263</v>
      </c>
      <c r="L232" s="29">
        <v>83</v>
      </c>
      <c r="M232" s="29">
        <v>6</v>
      </c>
      <c r="N232" s="186"/>
      <c r="O232" s="29"/>
      <c r="P232" s="29">
        <v>1</v>
      </c>
      <c r="Q232" s="29">
        <v>268</v>
      </c>
      <c r="R232" s="186"/>
      <c r="S232" s="27">
        <f t="shared" si="37"/>
        <v>631</v>
      </c>
    </row>
    <row r="233" spans="2:19" x14ac:dyDescent="0.25">
      <c r="B233" s="23" t="s">
        <v>15</v>
      </c>
      <c r="C233" s="29">
        <f>SUM(C219:C232)</f>
        <v>171245</v>
      </c>
      <c r="D233" s="29">
        <f t="shared" ref="D233:E233" si="38">SUM(D219:D232)</f>
        <v>196711</v>
      </c>
      <c r="E233" s="29">
        <f t="shared" si="38"/>
        <v>215615</v>
      </c>
      <c r="F233" s="187"/>
      <c r="G233" s="25">
        <f>SUM(G219:G232)</f>
        <v>209130</v>
      </c>
      <c r="H233" s="31">
        <f>SUM(H219:H232)</f>
        <v>189846</v>
      </c>
      <c r="I233" s="31">
        <f>SUM(I219:I232)</f>
        <v>153850</v>
      </c>
      <c r="J233" s="187"/>
      <c r="K233" s="31">
        <f>SUM(K219:K232)</f>
        <v>165307</v>
      </c>
      <c r="L233" s="31">
        <f>SUM(L219:L232)</f>
        <v>183948</v>
      </c>
      <c r="M233" s="31">
        <f>SUM(M219:M232)</f>
        <v>187542</v>
      </c>
      <c r="N233" s="187"/>
      <c r="O233" s="31">
        <f>SUM(O219:O232)</f>
        <v>189731</v>
      </c>
      <c r="P233" s="31">
        <f>SUM(P219:P232)</f>
        <v>168591</v>
      </c>
      <c r="Q233" s="31">
        <f>SUM(Q219:Q232)</f>
        <v>158096</v>
      </c>
      <c r="R233" s="187"/>
      <c r="S233" s="52">
        <f t="shared" si="37"/>
        <v>2189612</v>
      </c>
    </row>
    <row r="234" spans="2:19" x14ac:dyDescent="0.25">
      <c r="D234" s="181" t="s">
        <v>25</v>
      </c>
      <c r="E234" s="181"/>
      <c r="F234" s="34">
        <f>SUM(C233:E233)</f>
        <v>583571</v>
      </c>
      <c r="G234" s="189" t="s">
        <v>20</v>
      </c>
      <c r="H234" s="189"/>
      <c r="I234" s="189"/>
      <c r="J234" s="56">
        <f>SUM(G233:I233)</f>
        <v>552826</v>
      </c>
      <c r="K234" s="188" t="s">
        <v>27</v>
      </c>
      <c r="L234" s="188"/>
      <c r="M234" s="188"/>
      <c r="N234" s="57">
        <f>SUM(K233:M233)</f>
        <v>536797</v>
      </c>
      <c r="O234" s="184" t="s">
        <v>28</v>
      </c>
      <c r="P234" s="184"/>
      <c r="Q234" s="184"/>
      <c r="R234" s="58">
        <f>SUM(O233:Q233)</f>
        <v>516418</v>
      </c>
    </row>
  </sheetData>
  <mergeCells count="105">
    <mergeCell ref="F5:F20"/>
    <mergeCell ref="J5:J20"/>
    <mergeCell ref="N5:N20"/>
    <mergeCell ref="R5:R20"/>
    <mergeCell ref="F200:F213"/>
    <mergeCell ref="J200:J213"/>
    <mergeCell ref="O214:Q214"/>
    <mergeCell ref="K195:M195"/>
    <mergeCell ref="K214:M214"/>
    <mergeCell ref="N161:N176"/>
    <mergeCell ref="N181:N194"/>
    <mergeCell ref="B180:S180"/>
    <mergeCell ref="F161:F176"/>
    <mergeCell ref="J161:J176"/>
    <mergeCell ref="D177:E177"/>
    <mergeCell ref="R161:R176"/>
    <mergeCell ref="R181:R194"/>
    <mergeCell ref="R200:R213"/>
    <mergeCell ref="D59:E59"/>
    <mergeCell ref="N100:N115"/>
    <mergeCell ref="N120:N135"/>
    <mergeCell ref="N141:N156"/>
    <mergeCell ref="R100:R115"/>
    <mergeCell ref="B23:S23"/>
    <mergeCell ref="F24:F39"/>
    <mergeCell ref="J24:J39"/>
    <mergeCell ref="N24:N39"/>
    <mergeCell ref="R24:R39"/>
    <mergeCell ref="R120:R135"/>
    <mergeCell ref="R141:R156"/>
    <mergeCell ref="O116:Q116"/>
    <mergeCell ref="J61:J76"/>
    <mergeCell ref="N61:N76"/>
    <mergeCell ref="D234:E234"/>
    <mergeCell ref="G234:I234"/>
    <mergeCell ref="K234:M234"/>
    <mergeCell ref="O234:Q234"/>
    <mergeCell ref="B1:S1"/>
    <mergeCell ref="B99:S99"/>
    <mergeCell ref="B119:S119"/>
    <mergeCell ref="B140:S140"/>
    <mergeCell ref="B160:S160"/>
    <mergeCell ref="J100:J115"/>
    <mergeCell ref="J120:J135"/>
    <mergeCell ref="J141:J156"/>
    <mergeCell ref="G116:I116"/>
    <mergeCell ref="G136:I136"/>
    <mergeCell ref="F100:F115"/>
    <mergeCell ref="F120:F135"/>
    <mergeCell ref="F141:F156"/>
    <mergeCell ref="D116:E116"/>
    <mergeCell ref="D136:E136"/>
    <mergeCell ref="D157:E157"/>
    <mergeCell ref="J43:J58"/>
    <mergeCell ref="N43:N58"/>
    <mergeCell ref="R43:R58"/>
    <mergeCell ref="F61:F76"/>
    <mergeCell ref="B217:S217"/>
    <mergeCell ref="F218:F233"/>
    <mergeCell ref="J218:J233"/>
    <mergeCell ref="N218:N233"/>
    <mergeCell ref="R218:R233"/>
    <mergeCell ref="B79:S79"/>
    <mergeCell ref="K116:M116"/>
    <mergeCell ref="O136:Q136"/>
    <mergeCell ref="O157:Q157"/>
    <mergeCell ref="O177:Q177"/>
    <mergeCell ref="O195:Q195"/>
    <mergeCell ref="G177:I177"/>
    <mergeCell ref="G195:I195"/>
    <mergeCell ref="G214:I214"/>
    <mergeCell ref="K136:M136"/>
    <mergeCell ref="K157:M157"/>
    <mergeCell ref="K177:M177"/>
    <mergeCell ref="B199:S199"/>
    <mergeCell ref="F181:F194"/>
    <mergeCell ref="J181:J194"/>
    <mergeCell ref="D195:E195"/>
    <mergeCell ref="G157:I157"/>
    <mergeCell ref="D214:E214"/>
    <mergeCell ref="N200:N213"/>
    <mergeCell ref="B4:S4"/>
    <mergeCell ref="B42:S42"/>
    <mergeCell ref="D96:E96"/>
    <mergeCell ref="G96:I96"/>
    <mergeCell ref="K96:M96"/>
    <mergeCell ref="O96:Q96"/>
    <mergeCell ref="F80:F95"/>
    <mergeCell ref="J80:J95"/>
    <mergeCell ref="N80:N95"/>
    <mergeCell ref="R80:R95"/>
    <mergeCell ref="R61:R76"/>
    <mergeCell ref="D77:E77"/>
    <mergeCell ref="G77:I77"/>
    <mergeCell ref="K77:M77"/>
    <mergeCell ref="O77:Q77"/>
    <mergeCell ref="B60:S60"/>
    <mergeCell ref="F43:F58"/>
    <mergeCell ref="G59:I59"/>
    <mergeCell ref="K59:M59"/>
    <mergeCell ref="O59:Q59"/>
    <mergeCell ref="D40:E40"/>
    <mergeCell ref="G40:I40"/>
    <mergeCell ref="K40:M40"/>
    <mergeCell ref="O40:Q40"/>
  </mergeCells>
  <pageMargins left="0.7" right="0.7" top="0.75" bottom="0.75" header="0.3" footer="0.3"/>
  <pageSetup paperSize="5" scale="71" fitToHeight="0" orientation="landscape" r:id="rId1"/>
  <rowBreaks count="2" manualBreakCount="2">
    <brk id="138" max="16383" man="1"/>
    <brk id="17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Charlottesville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Garland</dc:creator>
  <cp:lastModifiedBy>Pasqualone, Alex</cp:lastModifiedBy>
  <cp:lastPrinted>2020-01-28T14:36:29Z</cp:lastPrinted>
  <dcterms:created xsi:type="dcterms:W3CDTF">2019-12-16T14:16:40Z</dcterms:created>
  <dcterms:modified xsi:type="dcterms:W3CDTF">2025-07-11T13:58:42Z</dcterms:modified>
</cp:coreProperties>
</file>